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7WDONaDup1gMUZePmq+w2P5vKFMbhBzFnnrpz3MATC7wAM4lRRmOZHJQk0GRuFkeI57qs2sM1dxT8Y7xU20Kg==" workbookSaltValue="FC/jK9qYoe+CfIQvFBjw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B18" i="7" l="1"/>
  <c r="S19" i="8"/>
  <c r="BG10" i="8"/>
  <c r="H10" i="2"/>
  <c r="L9" i="2"/>
  <c r="X10" i="21"/>
  <c r="BJ16" i="11"/>
  <c r="BM17" i="11"/>
  <c r="AQ10" i="21"/>
  <c r="BG12" i="11"/>
  <c r="BW10" i="20"/>
  <c r="BW12" i="20"/>
  <c r="BU11" i="17"/>
  <c r="BK17" i="11"/>
  <c r="BJ12" i="11"/>
  <c r="BM12" i="11"/>
  <c r="BF10" i="11"/>
  <c r="BM16" i="11"/>
  <c r="BH11" i="16"/>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F20" i="20"/>
  <c r="AQ20" i="20"/>
  <c r="W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L20" i="20"/>
  <c r="O20" i="20"/>
  <c r="AF20" i="20"/>
  <c r="AG20" i="20"/>
  <c r="O10" i="11"/>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<sst xmlns="http://schemas.openxmlformats.org/spreadsheetml/2006/main" count="2088" uniqueCount="910">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</sst>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2ywU3jDPZ0tSmz9wFe3GvspIrtDsbb+WkIFJi008bCA3D4hmqY2nzYhG1Kk1+c+XthOBKyGB/gIM7ECgExRfA==" saltValue="NUCmcUsnSwmBJ6jbUZPH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DENIA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2948</v>
      </c>
      <c r="D9" s="404">
        <f>IF(ISNUMBER(C9/Datos!BH9),C9/Datos!BH9," - ")</f>
        <v>491.33333333333331</v>
      </c>
      <c r="E9" s="403">
        <f>IF(ISNUMBER(IF(J_V="SI",Datos!J9,Datos!J9+Datos!Z9)),IF(J_V="SI",Datos!J9,Datos!J9+Datos!Z9)," - ")</f>
        <v>3429</v>
      </c>
      <c r="F9" s="404">
        <f>IF(ISNUMBER(E9/B9),E9/B9," - ")</f>
        <v>571.5</v>
      </c>
      <c r="G9" s="403">
        <f>IF(ISNUMBER(IF(J_V="SI",Datos!K9,Datos!K9+Datos!AA9)),IF(J_V="SI",Datos!K9,Datos!K9+Datos!AA9)," - ")</f>
        <v>2647</v>
      </c>
      <c r="H9" s="404">
        <f>IF(ISNUMBER(G9/B9),G9/B9," - ")</f>
        <v>441.16666666666669</v>
      </c>
      <c r="I9" s="403">
        <f>IF(ISNUMBER(IF(J_V="SI",Datos!L9,Datos!L9+Datos!AB9)),IF(J_V="SI",Datos!L9,Datos!L9+Datos!AB9)," - ")</f>
        <v>3735</v>
      </c>
      <c r="J9" s="404">
        <f>IF(ISNUMBER(I9/B9),I9/B9," - ")</f>
        <v>622.5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62</v>
      </c>
      <c r="D10" s="404">
        <f>IF(ISNUMBER(C10/Datos!BH10),C10/Datos!BH10," - ")</f>
        <v>62</v>
      </c>
      <c r="E10" s="403">
        <f>IF(ISNUMBER(Datos!J10),Datos!J10," - ")</f>
        <v>41</v>
      </c>
      <c r="F10" s="404">
        <f>IF(ISNUMBER(E10/B10),E10/B10," - ")</f>
        <v>41</v>
      </c>
      <c r="G10" s="403">
        <f>IF(ISNUMBER(Datos!K10),Datos!K10," - ")</f>
        <v>48</v>
      </c>
      <c r="H10" s="404">
        <f>IF(ISNUMBER(G10/B10),G10/B10," - ")</f>
        <v>48</v>
      </c>
      <c r="I10" s="403">
        <f>IF(ISNUMBER(Datos!L10),Datos!L10," - ")</f>
        <v>55</v>
      </c>
      <c r="J10" s="404">
        <f>IF(ISNUMBER(I10/B10),I10/B10," - ")</f>
        <v>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3010</v>
      </c>
      <c r="D13" s="850" t="str">
        <f>IF(ISNUMBER(C13/Datos!BI13),C13/Datos!BI13," - ")</f>
        <v xml:space="preserve"> - </v>
      </c>
      <c r="E13" s="849">
        <f>SUBTOTAL(9,E8:E12)</f>
        <v>3470</v>
      </c>
      <c r="F13" s="850">
        <f>IF(ISNUMBER(E13/B13),E13/B13," - ")</f>
        <v>495.71428571428572</v>
      </c>
      <c r="G13" s="849">
        <f>SUBTOTAL(9,G8:G12)</f>
        <v>2695</v>
      </c>
      <c r="H13" s="850">
        <f>IF(ISNUMBER(G13/B13),G13/B13," - ")</f>
        <v>385</v>
      </c>
      <c r="I13" s="849">
        <f>SUBTOTAL(9,I8:I12)</f>
        <v>3790</v>
      </c>
      <c r="J13" s="850">
        <f>IF(ISNUMBER(I13/B13),I13/B13," - ")</f>
        <v>541.42857142857144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2349</v>
      </c>
      <c r="D15" s="404">
        <f>IF(ISNUMBER(C15/Datos!BH15),C15/Datos!BH15," - ")</f>
        <v>783</v>
      </c>
      <c r="E15" s="403">
        <f>IF(ISNUMBER(IF(D_I="SI",Datos!J15,Datos!J15+Datos!AD15)),IF(D_I="SI",Datos!J15,Datos!J15+Datos!AD15)," - ")</f>
        <v>2122</v>
      </c>
      <c r="F15" s="404">
        <f>IF(ISNUMBER(E15/B15),E15/B15," - ")</f>
        <v>707.33333333333337</v>
      </c>
      <c r="G15" s="403">
        <f>IF(ISNUMBER(IF(D_I="SI",Datos!K15,Datos!K15+Datos!AE15)),IF(D_I="SI",Datos!K15,Datos!K15+Datos!AE15)," - ")</f>
        <v>2389</v>
      </c>
      <c r="H15" s="404">
        <f>IF(ISNUMBER(G15/B15),G15/B15," - ")</f>
        <v>796.33333333333337</v>
      </c>
      <c r="I15" s="403">
        <f>IF(ISNUMBER(IF(D_I="SI",Datos!L15,Datos!L15+Datos!AF15)),IF(D_I="SI",Datos!L15,Datos!L15+Datos!AF15)," - ")</f>
        <v>2082</v>
      </c>
      <c r="J15" s="404">
        <f>IF(ISNUMBER(I15/B15),I15/B15," - ")</f>
        <v>694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14</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14</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109</v>
      </c>
      <c r="D17" s="404">
        <f>IF(ISNUMBER(C17/Datos!BH17),C17/Datos!BH17," - ")</f>
        <v>109</v>
      </c>
      <c r="E17" s="403">
        <f>IF(ISNUMBER(IF(D_I="SI",Datos!J17,Datos!J17+Datos!AD17)),IF(D_I="SI",Datos!J17,Datos!J17+Datos!AD17)," - ")</f>
        <v>339</v>
      </c>
      <c r="F17" s="404">
        <f>IF(ISNUMBER(E17/B17),E17/B17," - ")</f>
        <v>339</v>
      </c>
      <c r="G17" s="403">
        <f>IF(ISNUMBER(IF(D_I="SI",Datos!K17,Datos!K17+Datos!AE17)),IF(D_I="SI",Datos!K17,Datos!K17+Datos!AE17)," - ")</f>
        <v>341</v>
      </c>
      <c r="H17" s="404">
        <f>IF(ISNUMBER(G17/B17),G17/B17," - ")</f>
        <v>341</v>
      </c>
      <c r="I17" s="403">
        <f>IF(ISNUMBER(IF(D_I="SI",Datos!L17,Datos!L17+Datos!AF17)),IF(D_I="SI",Datos!L17,Datos!L17+Datos!AF17)," - ")</f>
        <v>110</v>
      </c>
      <c r="J17" s="404">
        <f>IF(ISNUMBER(I17/B17),I17/B17," - ")</f>
        <v>110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2472</v>
      </c>
      <c r="D18" s="850" t="str">
        <f>IF(ISNUMBER(C18/Datos!BI18),C18/Datos!BI18," - ")</f>
        <v xml:space="preserve"> - </v>
      </c>
      <c r="E18" s="849">
        <f>SUBTOTAL(9,E14:E17)</f>
        <v>2461</v>
      </c>
      <c r="F18" s="850">
        <f>IF(ISNUMBER(E18/B18),E18/B18," - ")</f>
        <v>615.25</v>
      </c>
      <c r="G18" s="849">
        <f>SUBTOTAL(9,G14:G17)</f>
        <v>2730</v>
      </c>
      <c r="H18" s="850">
        <f>IF(ISNUMBER(G18/B18),G18/B18," - ")</f>
        <v>682.5</v>
      </c>
      <c r="I18" s="849">
        <f>SUBTOTAL(9,I14:I17)</f>
        <v>2206</v>
      </c>
      <c r="J18" s="850">
        <f>IF(ISNUMBER(I18/B18),I18/B18," - ")</f>
        <v>551.5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5482</v>
      </c>
      <c r="D19" s="795" t="str">
        <f>IF(ISNUMBER(C19/Datos!BI19),C19/Datos!BI19," - ")</f>
        <v xml:space="preserve"> - </v>
      </c>
      <c r="E19" s="794">
        <f>SUBTOTAL(9,E9:E18)</f>
        <v>5931</v>
      </c>
      <c r="F19" s="795">
        <f>IF(ISNUMBER(E19/B19),E19/B19," - ")</f>
        <v>593.1</v>
      </c>
      <c r="G19" s="794">
        <f>SUBTOTAL(9,G9:G18)</f>
        <v>5425</v>
      </c>
      <c r="H19" s="795">
        <f>IF(ISNUMBER(G19/B19),G19/B19," - ")</f>
        <v>542.5</v>
      </c>
      <c r="I19" s="794">
        <f>SUBTOTAL(9,I9:I18)</f>
        <v>5996</v>
      </c>
      <c r="J19" s="795">
        <f>IF(ISNUMBER(I19/B19),I19/B19," - ")</f>
        <v>599.6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5fu4+gVieQSf7rD4zScBzsBQ9g9KdcEoJo63YOQVehdJwHNjH0ZRqZEgeLoqCE26P0KmAcTIWwPDhjc8i2BhA==" saltValue="cydkEIqABFaTD02GyVAQ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DENIA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FPCj+p7efAn8raEwUxOOWneXpLMPxElWMOrMq1Q/AhDJsDJlHDl6a8HJdovJUkS1Wuv5cfRFohKhEkIGzWdJg==" saltValue="52Vowd6EZuNhECuG2R5q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DENIA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505</v>
      </c>
      <c r="E9" s="404">
        <f t="shared" ref="E9:E13" si="0">IF(ISNUMBER(D9/B9),D9/B9," - ")</f>
        <v>84.166666666666671</v>
      </c>
      <c r="F9" s="403">
        <f>IF(ISNUMBER(Datos!N9),Datos!N9," - ")</f>
        <v>1226</v>
      </c>
      <c r="G9" s="404">
        <f t="shared" ref="G9:G13" si="1">IF(ISNUMBER(F9/B9),F9/B9," - ")</f>
        <v>204.33333333333334</v>
      </c>
      <c r="H9" s="403">
        <f>IF(ISNUMBER(Datos!O9),Datos!O9," - ")</f>
        <v>1172</v>
      </c>
      <c r="I9" s="404">
        <f>IF(ISNUMBER(H9/B9),H9/B9," - ")</f>
        <v>195.33333333333334</v>
      </c>
      <c r="BZ9" s="1186">
        <f>Datos!EZ9</f>
        <v>0</v>
      </c>
    </row>
    <row r="10" spans="1:78">
      <c r="A10" s="402" t="str">
        <f>Datos!A10</f>
        <v>Jdos. Violencia contra la mujer</v>
      </c>
      <c r="B10" s="427">
        <f>Datos!AO10</f>
        <v>1</v>
      </c>
      <c r="C10" s="410">
        <f>Datos!AQ10</f>
        <v>1</v>
      </c>
      <c r="D10" s="403">
        <f>IF(ISNUMBER(Datos!M10),Datos!M10," - ")</f>
        <v>26</v>
      </c>
      <c r="E10" s="404">
        <f>IF(ISNUMBER(D10/B10),D10/B10," - ")</f>
        <v>26</v>
      </c>
      <c r="F10" s="403">
        <f>IF(ISNUMBER(Datos!N10),Datos!N10," - ")</f>
        <v>18</v>
      </c>
      <c r="G10" s="404">
        <f>IF(ISNUMBER(F10/B10),F10/B10," - ")</f>
        <v>18</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531</v>
      </c>
      <c r="E13" s="850">
        <f t="shared" si="0"/>
        <v>75.857142857142861</v>
      </c>
      <c r="F13" s="849">
        <f>SUBTOTAL(9,F9:F12)</f>
        <v>1244</v>
      </c>
      <c r="G13" s="850">
        <f t="shared" si="1"/>
        <v>177.71428571428572</v>
      </c>
      <c r="H13" s="849">
        <f>SUBTOTAL(9,H9:H12)</f>
        <v>1180</v>
      </c>
      <c r="I13" s="850">
        <f>IF(ISNUMBER(H13/B13),H13/B13," - ")</f>
        <v>168.57142857142858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354</v>
      </c>
      <c r="E15" s="404">
        <f t="shared" ref="E15:E18" si="3">IF(ISNUMBER(D15/B15),D15/B15," - ")</f>
        <v>118</v>
      </c>
      <c r="F15" s="403">
        <f>IF(ISNUMBER(Datos!N15),Datos!N15," - ")</f>
        <v>1420</v>
      </c>
      <c r="G15" s="404">
        <f t="shared" ref="G15:G18" si="4">IF(ISNUMBER(F15/B15),F15/B15," - ")</f>
        <v>473.33333333333331</v>
      </c>
      <c r="H15" s="403">
        <f>IF(ISNUMBER(Datos!O15),Datos!O15," - ")</f>
        <v>44</v>
      </c>
      <c r="I15" s="404">
        <f t="shared" ref="I15:I17" si="5">IF(ISNUMBER(H15/B15),H15/B15," - ")</f>
        <v>14.666666666666666</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75</v>
      </c>
      <c r="E17" s="404">
        <f>IF(ISNUMBER(D17/B17),D17/B17," - ")</f>
        <v>75</v>
      </c>
      <c r="F17" s="403">
        <f>IF(ISNUMBER(Datos!N17),Datos!N17," - ")</f>
        <v>205</v>
      </c>
      <c r="G17" s="404">
        <f>IF(ISNUMBER(F17/B17),F17/B17," - ")</f>
        <v>205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429</v>
      </c>
      <c r="E18" s="850">
        <f t="shared" si="3"/>
        <v>107.25</v>
      </c>
      <c r="F18" s="849">
        <f>SUBTOTAL(9,F15:F17)</f>
        <v>1625</v>
      </c>
      <c r="G18" s="850">
        <f t="shared" si="4"/>
        <v>406.25</v>
      </c>
      <c r="H18" s="849">
        <f>SUBTOTAL(9,H15:H17)</f>
        <v>44</v>
      </c>
      <c r="I18" s="850">
        <f>IF(ISNUMBER(H18/B18),H18/B18," - ")</f>
        <v>11</v>
      </c>
      <c r="BZ18" s="1186"/>
    </row>
    <row r="19" spans="1:78" ht="14.25" thickTop="1" thickBot="1">
      <c r="A19" s="793" t="str">
        <f>Datos!A19</f>
        <v>TOTAL JURISDICCIONES</v>
      </c>
      <c r="B19" s="794">
        <f>Datos!AP19</f>
        <v>10</v>
      </c>
      <c r="C19" s="794">
        <f>Datos!AR19</f>
        <v>10</v>
      </c>
      <c r="D19" s="794">
        <f>SUBTOTAL(9,D8:D18)</f>
        <v>960</v>
      </c>
      <c r="E19" s="795">
        <f>IF(ISNUMBER(D19/B19),D19/B19," - ")</f>
        <v>96</v>
      </c>
      <c r="F19" s="794">
        <f>SUBTOTAL(9,F8:F18)</f>
        <v>2869</v>
      </c>
      <c r="G19" s="795">
        <f>IF(ISNUMBER(F19/B19),F19/B19," - ")</f>
        <v>286.89999999999998</v>
      </c>
      <c r="H19" s="794">
        <f>SUBTOTAL(9,H8:H18)</f>
        <v>1224</v>
      </c>
      <c r="I19" s="795">
        <f>IF(ISNUMBER(H19/B19),H19/B19," - ")</f>
        <v>122.4</v>
      </c>
    </row>
    <row r="22" spans="1:78">
      <c r="A22" s="391" t="str">
        <f>Criterios!A4</f>
        <v>Fecha Informe: 24 sep. 2024</v>
      </c>
    </row>
    <row r="27" spans="1:78">
      <c r="A27" s="414"/>
    </row>
  </sheetData>
  <sheetProtection algorithmName="SHA-512" hashValue="2LraP3JhH2lb+GLd3ESGvCoD2Yg6ExNGjPhK6AAzAm+cHiaLrYfOfzIW/u7wxt6ZXUAWC89DCJYl+SsDCry90A==" saltValue="XF6/RcYsFM6gO/qyBAy2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DENIA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745</v>
      </c>
      <c r="C9" s="434">
        <f>IF(ISNUMBER(Datos!Q9),Datos!Q9," - ")</f>
        <v>1262</v>
      </c>
      <c r="D9" s="408">
        <f>IF(ISNUMBER(Datos!R9),Datos!R9," - ")</f>
        <v>8891</v>
      </c>
    </row>
    <row r="10" spans="1:4">
      <c r="A10" s="402" t="str">
        <f>Datos!A10</f>
        <v>Jdos. Violencia contra la mujer</v>
      </c>
      <c r="B10" s="433">
        <f>IF(ISNUMBER(Datos!P10),Datos!P10," - ")</f>
        <v>11</v>
      </c>
      <c r="C10" s="434">
        <f>IF(ISNUMBER(Datos!Q10),Datos!Q10," - ")</f>
        <v>4</v>
      </c>
      <c r="D10" s="408">
        <f>IF(ISNUMBER(Datos!R10),Datos!R10," - ")</f>
        <v>48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756</v>
      </c>
      <c r="C13" s="853">
        <f>SUBTOTAL(9,C9:C12)</f>
        <v>1266</v>
      </c>
      <c r="D13" s="851">
        <f>SUBTOTAL(9,D9:D12)</f>
        <v>8939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80</v>
      </c>
      <c r="C15" s="434">
        <f>IF(ISNUMBER(Datos!Q15),Datos!Q15," - ")</f>
        <v>50</v>
      </c>
      <c r="D15" s="408">
        <f>IF(ISNUMBER(Datos!R15),Datos!R15," - ")</f>
        <v>260</v>
      </c>
    </row>
    <row r="16" spans="1:4">
      <c r="A16" s="402" t="str">
        <f>Datos!A16</f>
        <v xml:space="preserve">Jdos. 1ª Instª. e Instr.                        </v>
      </c>
      <c r="B16" s="433">
        <f>IF(ISNUMBER(Datos!P16),Datos!P16," - ")</f>
        <v>0</v>
      </c>
      <c r="C16" s="434">
        <f>IF(ISNUMBER(Datos!Q16),Datos!Q16," - ")</f>
        <v>0</v>
      </c>
      <c r="D16" s="408">
        <f>IF(ISNUMBER(Datos!R16),Datos!R16," - ")</f>
        <v>6</v>
      </c>
    </row>
    <row r="17" spans="1:4" ht="13.5" thickBot="1">
      <c r="A17" s="402" t="str">
        <f>Datos!A17</f>
        <v>Jdos. Violencia contra la mujer</v>
      </c>
      <c r="B17" s="433">
        <f>IF(ISNUMBER(Datos!P17),Datos!P17," - ")</f>
        <v>0</v>
      </c>
      <c r="C17" s="434">
        <f>IF(ISNUMBER(Datos!Q17),Datos!Q17," - ")</f>
        <v>2</v>
      </c>
      <c r="D17" s="408">
        <f>IF(ISNUMBER(Datos!R17),Datos!R17," - ")</f>
        <v>11</v>
      </c>
    </row>
    <row r="18" spans="1:4" ht="14.25" thickTop="1" thickBot="1">
      <c r="A18" s="848" t="str">
        <f>Datos!A18</f>
        <v>TOTAL</v>
      </c>
      <c r="B18" s="849">
        <f>SUBTOTAL(9,B15:B17)</f>
        <v>80</v>
      </c>
      <c r="C18" s="853">
        <f>SUBTOTAL(9,C15:C17)</f>
        <v>52</v>
      </c>
      <c r="D18" s="851">
        <f>SUBTOTAL(9,D15:D17)</f>
        <v>277</v>
      </c>
    </row>
    <row r="19" spans="1:4" ht="16.5" customHeight="1" thickTop="1" thickBot="1">
      <c r="A19" s="793" t="str">
        <f>Datos!A19</f>
        <v>TOTAL JURISDICCIONES</v>
      </c>
      <c r="B19" s="798">
        <f>SUBTOTAL(9,B8:B18)</f>
        <v>836</v>
      </c>
      <c r="C19" s="799">
        <f>SUBTOTAL(9,C8:C18)</f>
        <v>1318</v>
      </c>
      <c r="D19" s="800">
        <f>SUBTOTAL(9,D8:D18)</f>
        <v>9216</v>
      </c>
    </row>
    <row r="20" spans="1:4" ht="7.5" customHeight="1"/>
    <row r="21" spans="1:4" ht="6" customHeight="1"/>
    <row r="22" spans="1:4">
      <c r="A22" s="391" t="str">
        <f>Criterios!A4</f>
        <v>Fecha Informe: 24 sep. 2024</v>
      </c>
    </row>
    <row r="27" spans="1:4">
      <c r="A27" s="414"/>
    </row>
  </sheetData>
  <sheetProtection algorithmName="SHA-512" hashValue="f4hiJ4z89HzmUPyTWXWRb6kAa4PCgjVQPPNge3f5mYDXXS8jdQ/Ydq35EaqsjXjwZrjSzOnFeB8pNJuLRMoEhQ==" saltValue="YjfTquI/YFWucvbUEDQd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DENIA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6.5798987707881423E-2</v>
      </c>
      <c r="C9" s="456">
        <f>IF(ISNUMBER(
   IF(J_V="SI",(Datos!J9-Datos!T9)/Datos!T9,(Datos!J9+Datos!Z9-(Datos!T9+Datos!AH9))/(Datos!T9+Datos!AH9))
     ),IF(J_V="SI",(Datos!J9-Datos!T9)/Datos!T9,(Datos!J9+Datos!Z9-(Datos!T9+Datos!AH9))/(Datos!T9+Datos!AH9))," - ")</f>
        <v>0.43894250944187996</v>
      </c>
      <c r="D9" s="456">
        <f>IF(ISNUMBER(
   IF(J_V="SI",(Datos!K9-Datos!U9)/Datos!U9,(Datos!K9+Datos!AA9-(Datos!U9+Datos!AI9))/(Datos!U9+Datos!AI9))
     ),IF(J_V="SI",(Datos!K9-Datos!U9)/Datos!U9,(Datos!K9+Datos!AA9-(Datos!U9+Datos!AI9))/(Datos!U9+Datos!AI9))," - ")</f>
        <v>4.6245059288537546E-2</v>
      </c>
      <c r="E9" s="456">
        <f>IF(ISNUMBER(
   IF(J_V="SI",(Datos!L9-Datos!V9)/Datos!V9,(Datos!L9+Datos!AB9-(Datos!V9+Datos!AJ9))/(Datos!V9+Datos!AJ9))
     ),IF(J_V="SI",(Datos!L9-Datos!V9)/Datos!V9,(Datos!L9+Datos!AB9-(Datos!V9+Datos!AJ9))/(Datos!V9+Datos!AJ9))," - ")</f>
        <v>0.42611683848797249</v>
      </c>
      <c r="F9" s="456">
        <f>IF(ISNUMBER((Datos!M9-Datos!W9)/Datos!W9),(Datos!M9-Datos!W9)/Datos!W9," - ")</f>
        <v>-1.7509727626459144E-2</v>
      </c>
      <c r="G9" s="457">
        <f>IF(ISNUMBER((Datos!N9-Datos!X9)/Datos!X9),(Datos!N9-Datos!X9)/Datos!X9," - ")</f>
        <v>0.1105072463768116</v>
      </c>
      <c r="H9" s="455">
        <f>IF(ISNUMBER(((NºAsuntos!G9/NºAsuntos!E9)-Datos!BD9)/Datos!BD9),((NºAsuntos!G9/NºAsuntos!E9)-Datos!BD9)/Datos!BD9," - ")</f>
        <v>-0.27290697687821952</v>
      </c>
      <c r="I9" s="456">
        <f>IF(ISNUMBER(((NºAsuntos!I9/NºAsuntos!G9)-Datos!BE9)/Datos!BE9),((NºAsuntos!I9/NºAsuntos!G9)-Datos!BE9)/Datos!BE9," - ")</f>
        <v>0.363081073432025</v>
      </c>
      <c r="J9" s="461">
        <f>IF(ISNUMBER((('Resol  Asuntos'!D9/NºAsuntos!G9)-Datos!BF9)/Datos!BF9),(('Resol  Asuntos'!D9/NºAsuntos!G9)-Datos!BF9)/Datos!BF9," - ")</f>
        <v>-0.56279121017504086</v>
      </c>
      <c r="K9" s="462">
        <f>IF(ISNUMBER((((NºAsuntos!C9+NºAsuntos!E9)/NºAsuntos!G9)-Datos!BG9)/Datos!BG9),(((NºAsuntos!C9+NºAsuntos!E9)/NºAsuntos!G9)-Datos!BG9)/Datos!BG9," - ")</f>
        <v>0.1837503080655844</v>
      </c>
    </row>
    <row r="10" spans="1:11">
      <c r="A10" s="402" t="str">
        <f>Datos!A10</f>
        <v>Jdos. Violencia contra la mujer</v>
      </c>
      <c r="B10" s="455">
        <f>IF(ISNUMBER((Datos!I10-Datos!S10)/Datos!S10),(Datos!I10-Datos!S10)/Datos!S10," - ")</f>
        <v>-0.38613861386138615</v>
      </c>
      <c r="C10" s="456">
        <f>IF(ISNUMBER((Datos!J10-Datos!T10)/Datos!T10),(Datos!J10-Datos!T10)/Datos!T10," - ")</f>
        <v>-0.1276595744680851</v>
      </c>
      <c r="D10" s="456">
        <f>IF(ISNUMBER((Datos!K10-Datos!U10)/Datos!U10),(Datos!K10-Datos!U10)/Datos!U10," - ")</f>
        <v>-0.2</v>
      </c>
      <c r="E10" s="456">
        <f>IF(ISNUMBER((Datos!L10-Datos!V10)/Datos!V10),(Datos!L10-Datos!V10)/Datos!V10," - ")</f>
        <v>-0.375</v>
      </c>
      <c r="F10" s="456">
        <f>IF(ISNUMBER((Datos!M10-Datos!W10)/Datos!W10),(Datos!M10-Datos!W10)/Datos!W10," - ")</f>
        <v>0.625</v>
      </c>
      <c r="G10" s="457">
        <f>IF(ISNUMBER((Datos!N10-Datos!X10)/Datos!X10),(Datos!N10-Datos!X10)/Datos!X10," - ")</f>
        <v>-0.1</v>
      </c>
      <c r="H10" s="455">
        <f>IF(ISNUMBER(((NºAsuntos!G10/NºAsuntos!E10)-Datos!BD10)/Datos!BD10),((NºAsuntos!G10/NºAsuntos!E10)-Datos!BD10)/Datos!BD10," - ")</f>
        <v>-8.2926829268292784E-2</v>
      </c>
      <c r="I10" s="456">
        <f>IF(ISNUMBER(((NºAsuntos!I10/NºAsuntos!G10)-Datos!BE10)/Datos!BE10),((NºAsuntos!I10/NºAsuntos!G10)-Datos!BE10)/Datos!BE10," - ")</f>
        <v>-0.21875</v>
      </c>
      <c r="J10" s="461">
        <f>IF(ISNUMBER((('Resol  Asuntos'!D10/NºAsuntos!G10)-Datos!BF10)/Datos!BF10),(('Resol  Asuntos'!D10/NºAsuntos!G10)-Datos!BF10)/Datos!BF10," - ")</f>
        <v>1.03125</v>
      </c>
      <c r="K10" s="462">
        <f>IF(ISNUMBER((((NºAsuntos!C10+NºAsuntos!E10)/NºAsuntos!G10)-Datos!BG10)/Datos!BG10),(((NºAsuntos!C10+NºAsuntos!E10)/NºAsuntos!G10)-Datos!BG10)/Datos!BG10," - ")</f>
        <v>-0.13006756756756754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4.9877921171956746E-2</v>
      </c>
      <c r="C13" s="855">
        <f>IF(ISNUMBER(
   IF(J_V="SI",(Datos!J13-Datos!T13)/Datos!T13,(Datos!J13+Datos!Z13-(Datos!T13+Datos!AH13))/(Datos!T13+Datos!AH13))
     ),IF(J_V="SI",(Datos!J13-Datos!T13)/Datos!T13,(Datos!J13+Datos!Z13-(Datos!T13+Datos!AH13))/(Datos!T13+Datos!AH13))," - ")</f>
        <v>0.4279835390946502</v>
      </c>
      <c r="D13" s="855">
        <f>IF(ISNUMBER(
   IF(J_V="SI",(Datos!K13-Datos!U13)/Datos!U13,(Datos!K13+Datos!AA13-(Datos!U13+Datos!AI13))/(Datos!U13+Datos!AI13))
     ),IF(J_V="SI",(Datos!K13-Datos!U13)/Datos!U13,(Datos!K13+Datos!AA13-(Datos!U13+Datos!AI13))/(Datos!U13+Datos!AI13))," - ")</f>
        <v>4.0540540540540543E-2</v>
      </c>
      <c r="E13" s="855">
        <f>IF(ISNUMBER(
   IF(J_V="SI",(Datos!L13-Datos!V13)/Datos!V13,(Datos!L13+Datos!AB13-(Datos!V13+Datos!AJ13))/(Datos!V13+Datos!AJ13))
     ),IF(J_V="SI",(Datos!L13-Datos!V13)/Datos!V13,(Datos!L13+Datos!AB13-(Datos!V13+Datos!AJ13))/(Datos!V13+Datos!AJ13))," - ")</f>
        <v>0.40007388252678244</v>
      </c>
      <c r="F13" s="856">
        <f>IF(ISNUMBER((Datos!M13-Datos!W13)/Datos!W13),(Datos!M13-Datos!W13)/Datos!W13," - ")</f>
        <v>1.8867924528301887E-3</v>
      </c>
      <c r="G13" s="857">
        <f>IF(ISNUMBER((Datos!N13-Datos!X13)/Datos!X13),(Datos!N13-Datos!X13)/Datos!X13," - ")</f>
        <v>0.10676156583629894</v>
      </c>
      <c r="H13" s="857">
        <f>IF(ISNUMBER(((NºAsuntos!G13/NºAsuntos!E13)-Datos!BD13)/Datos!BD13),((NºAsuntos!G13/NºAsuntos!E13)-Datos!BD13)/Datos!BD13," - ")</f>
        <v>-0.2713217540306877</v>
      </c>
      <c r="I13" s="857">
        <f>IF(ISNUMBER(((NºAsuntos!I13/NºAsuntos!G13)-Datos!BE13)/Datos!BE13),((NºAsuntos!I13/NºAsuntos!G13)-Datos!BE13)/Datos!BE13," - ")</f>
        <v>0.3455255494413233</v>
      </c>
      <c r="J13" s="857">
        <f>IF(ISNUMBER((('Resol  Asuntos'!D13/NºAsuntos!G13)-Datos!BF13)/Datos!BF13),(('Resol  Asuntos'!D13/NºAsuntos!G13)-Datos!BF13)/Datos!BF13," - ")</f>
        <v>-0.54436456400742117</v>
      </c>
      <c r="K13" s="857">
        <f>IF(ISNUMBER((((NºAsuntos!C13+NºAsuntos!E13)/NºAsuntos!G13)-Datos!BG13)/Datos!BG13),(((NºAsuntos!C13+NºAsuntos!E13)/NºAsuntos!G13)-Datos!BG13)/Datos!BG13," - ")</f>
        <v>0.17567160044033761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0.22855648535564854</v>
      </c>
      <c r="C15" s="456">
        <f>IF(ISNUMBER(
   IF(D_I="SI",(Datos!J15-Datos!T15)/Datos!T15,(Datos!J15+Datos!AD15-(Datos!T15+Datos!AL15))/(Datos!T15+Datos!AL15))
     ),IF(D_I="SI",(Datos!J15-Datos!T15)/Datos!T15,(Datos!J15+Datos!AD15-(Datos!T15+Datos!AL15))/(Datos!T15+Datos!AL15))," - ")</f>
        <v>0.18481295365717476</v>
      </c>
      <c r="D15" s="456">
        <f>IF(ISNUMBER(
   IF(D_I="SI",(Datos!K15-Datos!U15)/Datos!U15,(Datos!K15+Datos!AE15-(Datos!U15+Datos!AM15))/(Datos!U15+Datos!AM15))
     ),IF(D_I="SI",(Datos!K15-Datos!U15)/Datos!U15,(Datos!K15+Datos!AE15-(Datos!U15+Datos!AM15))/(Datos!U15+Datos!AM15))," - ")</f>
        <v>0.34667418263810595</v>
      </c>
      <c r="E15" s="456">
        <f>IF(ISNUMBER(
   IF(D_I="SI",(Datos!L15-Datos!V15)/Datos!V15,(Datos!L15+Datos!AF15-(Datos!V15+Datos!AN15))/(Datos!V15+Datos!AN15))
     ),IF(D_I="SI",(Datos!L15-Datos!V15)/Datos!V15,(Datos!L15+Datos!AF15-(Datos!V15+Datos!AN15))/(Datos!V15+Datos!AN15))," - ")</f>
        <v>6.6052227342549924E-2</v>
      </c>
      <c r="F15" s="456">
        <f>IF(ISNUMBER((Datos!M15-Datos!W15)/Datos!W15),(Datos!M15-Datos!W15)/Datos!W15," - ")</f>
        <v>0.17218543046357615</v>
      </c>
      <c r="G15" s="457">
        <f>IF(ISNUMBER((Datos!N15-Datos!X15)/Datos!X15),(Datos!N15-Datos!X15)/Datos!X15," - ")</f>
        <v>0.34980988593155893</v>
      </c>
      <c r="H15" s="455">
        <f>IF(ISNUMBER(((NºAsuntos!G15/NºAsuntos!E15)-Datos!BD15)/Datos!BD15),((NºAsuntos!G15/NºAsuntos!E15)-Datos!BD15)/Datos!BD15," - ")</f>
        <v>0.13661331814554556</v>
      </c>
      <c r="I15" s="456">
        <f>IF(ISNUMBER(((NºAsuntos!I15/NºAsuntos!G15)-Datos!BE15)/Datos!BE15),((NºAsuntos!I15/NºAsuntos!G15)-Datos!BE15)/Datos!BE15," - ")</f>
        <v>-0.20838147705915291</v>
      </c>
      <c r="J15" s="461">
        <f>IF(ISNUMBER((('Resol  Asuntos'!D15/NºAsuntos!G15)-Datos!BF15)/Datos!BF15),(('Resol  Asuntos'!D15/NºAsuntos!G15)-Datos!BF15)/Datos!BF15," - ")</f>
        <v>-0.12957013242261023</v>
      </c>
      <c r="K15" s="462">
        <f>IF(ISNUMBER((((NºAsuntos!C15+NºAsuntos!E15)/NºAsuntos!G15)-Datos!BG15)/Datos!BG15),(((NºAsuntos!C15+NºAsuntos!E15)/NºAsuntos!G15)-Datos!BG15)/Datos!BG15," - ")</f>
        <v>-0.10342128671253735</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-0.125</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-0.125</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-0.37356321839080459</v>
      </c>
      <c r="C17" s="456">
        <f>IF(ISNUMBER(
   IF(D_I="SI",(Datos!J17-Datos!T17)/Datos!T17,(Datos!J17+Datos!AD17-(Datos!T17+Datos!AL17))/(Datos!T17+Datos!AL17))
     ),IF(D_I="SI",(Datos!J17-Datos!T17)/Datos!T17,(Datos!J17+Datos!AD17-(Datos!T17+Datos!AL17))/(Datos!T17+Datos!AL17))," - ")</f>
        <v>0.32941176470588235</v>
      </c>
      <c r="D17" s="456">
        <f>IF(ISNUMBER(
   IF(D_I="SI",(Datos!K17-Datos!U17)/Datos!U17,(Datos!K17+Datos!AE17-(Datos!U17+Datos!AM17))/(Datos!U17+Datos!AM17))
     ),IF(D_I="SI",(Datos!K17-Datos!U17)/Datos!U17,(Datos!K17+Datos!AE17-(Datos!U17+Datos!AM17))/(Datos!U17+Datos!AM17))," - ")</f>
        <v>0.17993079584775087</v>
      </c>
      <c r="E17" s="456">
        <f>IF(ISNUMBER(
   IF(D_I="SI",(Datos!L17-Datos!V17)/Datos!V17,(Datos!L17+Datos!AF17-(Datos!V17+Datos!AN17))/(Datos!V17+Datos!AN17))
     ),IF(D_I="SI",(Datos!L17-Datos!V17)/Datos!V17,(Datos!L17+Datos!AF17-(Datos!V17+Datos!AN17))/(Datos!V17+Datos!AN17))," - ")</f>
        <v>-0.21428571428571427</v>
      </c>
      <c r="F17" s="456">
        <f>IF(ISNUMBER((Datos!M17-Datos!W17)/Datos!W17),(Datos!M17-Datos!W17)/Datos!W17," - ")</f>
        <v>0.11940298507462686</v>
      </c>
      <c r="G17" s="457">
        <f>IF(ISNUMBER((Datos!N17-Datos!X17)/Datos!X17),(Datos!N17-Datos!X17)/Datos!X17," - ")</f>
        <v>0.21301775147928995</v>
      </c>
      <c r="H17" s="455">
        <f>IF(ISNUMBER(((NºAsuntos!G17/NºAsuntos!E17)-Datos!BD17)/Datos!BD17),((NºAsuntos!G17/NºAsuntos!E17)-Datos!BD17)/Datos!BD17," - ")</f>
        <v>-0.11244143675169173</v>
      </c>
      <c r="I17" s="456">
        <f>IF(ISNUMBER(((NºAsuntos!I17/NºAsuntos!G17)-Datos!BE17)/Datos!BE17),((NºAsuntos!I17/NºAsuntos!G17)-Datos!BE17)/Datos!BE17," - ")</f>
        <v>-0.33410138248847926</v>
      </c>
      <c r="J17" s="461">
        <f>IF(ISNUMBER((('Resol  Asuntos'!D17/NºAsuntos!G17)-Datos!BF17)/Datos!BF17),(('Resol  Asuntos'!D17/NºAsuntos!G17)-Datos!BF17)/Datos!BF17," - ")</f>
        <v>-5.1297763382500985E-2</v>
      </c>
      <c r="K17" s="462">
        <f>IF(ISNUMBER((((NºAsuntos!C17+NºAsuntos!E17)/NºAsuntos!G17)-Datos!BG17)/Datos!BG17),(((NºAsuntos!C17+NºAsuntos!E17)/NºAsuntos!G17)-Datos!BG17)/Datos!BG17," - ")</f>
        <v>-0.11495737888699775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0.17602283539486205</v>
      </c>
      <c r="C18" s="855">
        <f>IF(ISNUMBER(
   IF(Criterios!B14="SI",(Datos!J18-Datos!T18)/Datos!T18,(Datos!J18+Datos!AD18-(Datos!T18+Datos!AL18))/(Datos!T18+Datos!AL18))
     ),IF(Criterios!B14="SI",(Datos!J18-Datos!T18)/Datos!T18,(Datos!J18+Datos!AD18-(Datos!T18+Datos!AL18))/(Datos!T18+Datos!AL18))," - ")</f>
        <v>0.20283479960899314</v>
      </c>
      <c r="D18" s="855">
        <f>IF(ISNUMBER(
   IF(Criterios!B14="SI",(Datos!K18-Datos!U18)/Datos!U18,(Datos!K18+Datos!AE18-(Datos!U18+Datos!AM18))/(Datos!U18+Datos!AM18))
     ),IF(Criterios!B14="SI",(Datos!K18-Datos!U18)/Datos!U18,(Datos!K18+Datos!AE18-(Datos!U18+Datos!AM18))/(Datos!U18+Datos!AM18))," - ")</f>
        <v>0.32331555986427535</v>
      </c>
      <c r="E18" s="855">
        <f>IF(ISNUMBER(
   IF(Criterios!B14="SI",(Datos!L18-Datos!V18)/Datos!V18,(Datos!L18+Datos!AF18-(Datos!V18+Datos!AN18))/(Datos!V18+Datos!AN18))
     ),IF(Criterios!B14="SI",(Datos!L18-Datos!V18)/Datos!V18,(Datos!L18+Datos!AF18-(Datos!V18+Datos!AN18))/(Datos!V18+Datos!AN18))," - ")</f>
        <v>4.5993361782835467E-2</v>
      </c>
      <c r="F18" s="856">
        <f>IF(ISNUMBER((Datos!M18-Datos!W18)/Datos!W18),(Datos!M18-Datos!W18)/Datos!W18," - ")</f>
        <v>0.16260162601626016</v>
      </c>
      <c r="G18" s="857">
        <f>IF(ISNUMBER((Datos!N18-Datos!X18)/Datos!X18),(Datos!N18-Datos!X18)/Datos!X18," - ")</f>
        <v>0.33087633087633089</v>
      </c>
      <c r="H18" s="857">
        <f>IF(ISNUMBER(((NºAsuntos!G18/NºAsuntos!E18)-Datos!BD18)/Datos!BD18),((NºAsuntos!G18/NºAsuntos!E18)-Datos!BD18)/Datos!BD18," - ")</f>
        <v>0.10016401279248568</v>
      </c>
      <c r="I18" s="857">
        <f>IF(ISNUMBER(((NºAsuntos!I18/NºAsuntos!G18)-Datos!BE18)/Datos!BE18),((NºAsuntos!I18/NºAsuntos!G18)-Datos!BE18)/Datos!BE18," - ")</f>
        <v>-0.20956618851355688</v>
      </c>
      <c r="J18" s="857">
        <f>IF(ISNUMBER((('Resol  Asuntos'!D18/NºAsuntos!G18)-Datos!BF18)/Datos!BF18),(('Resol  Asuntos'!D18/NºAsuntos!G18)-Datos!BF18)/Datos!BF18," - ")</f>
        <v>-0.12144792876500198</v>
      </c>
      <c r="K18" s="857">
        <f>IF(ISNUMBER((((NºAsuntos!C18+NºAsuntos!E18)/NºAsuntos!G18)-Datos!BG18)/Datos!BG18),(((NºAsuntos!C18+NºAsuntos!E18)/NºAsuntos!G18)-Datos!BG18)/Datos!BG18," - ")</f>
        <v>-0.10131198759453335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0.10324008854900382</v>
      </c>
      <c r="C19" s="802">
        <f>IF(ISNUMBER(
   IF(J_V="SI",(Datos!J19-Datos!T19)/Datos!T19,(Datos!J19+Datos!Z19-(Datos!T19+Datos!AH19))/(Datos!T19+Datos!AH19))
     ),IF(J_V="SI",(Datos!J19-Datos!T19)/Datos!T19,(Datos!J19+Datos!Z19-(Datos!T19+Datos!AH19))/(Datos!T19+Datos!AH19))," - ")</f>
        <v>0.32506702412868632</v>
      </c>
      <c r="D19" s="802">
        <f>IF(ISNUMBER(
   IF(J_V="SI",(Datos!K19-Datos!U19)/Datos!U19,(Datos!K19+Datos!AA19-(Datos!U19+Datos!AI19))/(Datos!U19+Datos!AI19))
     ),IF(J_V="SI",(Datos!K19-Datos!U19)/Datos!U19,(Datos!K19+Datos!AA19-(Datos!U19+Datos!AI19))/(Datos!U19+Datos!AI19))," - ")</f>
        <v>0.16591446378680422</v>
      </c>
      <c r="E19" s="802">
        <f>IF(ISNUMBER(
   IF(J_V="SI",(Datos!L19-Datos!V19)/Datos!V19,(Datos!L19+Datos!AB19-(Datos!V19+Datos!AJ19))/(Datos!V19+Datos!AJ19))
     ),IF(J_V="SI",(Datos!L19-Datos!V19)/Datos!V19,(Datos!L19+Datos!AB19-(Datos!V19+Datos!AJ19))/(Datos!V19+Datos!AJ19))," - ")</f>
        <v>0.24501661129568106</v>
      </c>
      <c r="F19" s="803">
        <f>IF(ISNUMBER((Datos!M19-Datos!W19)/Datos!W19),(Datos!M19-Datos!W19)/Datos!W19," - ")</f>
        <v>6.7853170189099005E-2</v>
      </c>
      <c r="G19" s="804">
        <f>IF(ISNUMBER((Datos!N19-Datos!X19)/Datos!X19),(Datos!N19-Datos!X19)/Datos!X19," - ")</f>
        <v>0.22345415778251598</v>
      </c>
      <c r="H19" s="805">
        <f>IF(ISNUMBER((Tasas!B19-Datos!BD19)/Datos!BD19),(Tasas!B19-Datos!BD19)/Datos!BD19," - ")</f>
        <v>-0.1201090642539646</v>
      </c>
      <c r="I19" s="806">
        <f>IF(ISNUMBER((Tasas!C19-Datos!BE19)/Datos!BE19),(Tasas!C19-Datos!BE19)/Datos!BE19," - ")</f>
        <v>6.7845583844940882E-2</v>
      </c>
      <c r="J19" s="807">
        <f>IF(ISNUMBER((Tasas!D19-Datos!BF19)/Datos!BF19),(Tasas!D19-Datos!BF19)/Datos!BF19," - ")</f>
        <v>-0.44701946377892565</v>
      </c>
      <c r="K19" s="807">
        <f>IF(ISNUMBER((Tasas!E19-Datos!BG19)/Datos!BG19),(Tasas!E19-Datos!BG19)/Datos!BG19," - ")</f>
        <v>3.640897458729065E-2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R6KhcE8X/iXE++t1Tbf1Ezc1LTBkK4D5u/Wq9/keO06vOblIPBfJetaOpDieLZEHd2/v1PRM4YMk7nqyhV2Ag==" saltValue="l7dHDm12ADaRc+LQ4x+1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DENIA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0.77194517351997671</v>
      </c>
      <c r="C9" s="443">
        <f>IF(ISNUMBER(NºAsuntos!I9/NºAsuntos!G9),NºAsuntos!I9/NºAsuntos!G9," - ")</f>
        <v>1.4110313562523611</v>
      </c>
      <c r="D9" s="444">
        <f>IF(ISNUMBER('Resol  Asuntos'!D9/NºAsuntos!G9),'Resol  Asuntos'!D9/NºAsuntos!G9," - ")</f>
        <v>0.19078201737816397</v>
      </c>
      <c r="E9" s="445">
        <f>IF(ISNUMBER((NºAsuntos!C9+NºAsuntos!E9)/NºAsuntos!G9),(NºAsuntos!C9+NºAsuntos!E9)/NºAsuntos!G9," - ")</f>
        <v>2.4091424253872309</v>
      </c>
      <c r="G9" s="463"/>
    </row>
    <row r="10" spans="1:7">
      <c r="A10" s="402" t="str">
        <f>Datos!A10</f>
        <v>Jdos. Violencia contra la mujer</v>
      </c>
      <c r="B10" s="442">
        <f>IF(ISNUMBER(NºAsuntos!G10/NºAsuntos!E10),NºAsuntos!G10/NºAsuntos!E10," - ")</f>
        <v>1.1707317073170731</v>
      </c>
      <c r="C10" s="443">
        <f>IF(ISNUMBER(NºAsuntos!I10/NºAsuntos!G10),NºAsuntos!I10/NºAsuntos!G10," - ")</f>
        <v>1.1458333333333333</v>
      </c>
      <c r="D10" s="444">
        <f>IF(ISNUMBER('Resol  Asuntos'!D10/NºAsuntos!G10),'Resol  Asuntos'!D10/NºAsuntos!G10," - ")</f>
        <v>0.54166666666666663</v>
      </c>
      <c r="E10" s="445">
        <f>IF(ISNUMBER((NºAsuntos!C10+NºAsuntos!E10)/NºAsuntos!G10),(NºAsuntos!C10+NºAsuntos!E10)/NºAsuntos!G10," - ")</f>
        <v>2.1458333333333335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0.77665706051873196</v>
      </c>
      <c r="C13" s="859">
        <f>IF(ISNUMBER(NºAsuntos!I13/NºAsuntos!G13),NºAsuntos!I13/NºAsuntos!G13," - ")</f>
        <v>1.4063079777365493</v>
      </c>
      <c r="D13" s="860">
        <f>IF(ISNUMBER('Resol  Asuntos'!D13/NºAsuntos!G13),'Resol  Asuntos'!D13/NºAsuntos!G13," - ")</f>
        <v>0.19703153988868274</v>
      </c>
      <c r="E13" s="861">
        <f>IF(ISNUMBER((NºAsuntos!C13+NºAsuntos!E13)/NºAsuntos!G13),(NºAsuntos!C13+NºAsuntos!E13)/NºAsuntos!G13," - ")</f>
        <v>2.404452690166976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1.1258246936852025</v>
      </c>
      <c r="C15" s="443">
        <f>IF(ISNUMBER(NºAsuntos!I15/NºAsuntos!G15),NºAsuntos!I15/NºAsuntos!G15," - ")</f>
        <v>0.87149434910004187</v>
      </c>
      <c r="D15" s="444">
        <f>IF(ISNUMBER('Resol  Asuntos'!D15/NºAsuntos!G15),'Resol  Asuntos'!D15/NºAsuntos!G15," - ")</f>
        <v>0.1481791544579322</v>
      </c>
      <c r="E15" s="445">
        <f>IF(ISNUMBER((NºAsuntos!C15+NºAsuntos!E15)/NºAsuntos!G15),(NºAsuntos!C15+NºAsuntos!E15)/NºAsuntos!G15," - ")</f>
        <v>1.8714943491000418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1.0058997050147493</v>
      </c>
      <c r="C17" s="443">
        <f>IF(ISNUMBER(NºAsuntos!I17/NºAsuntos!G17),NºAsuntos!I17/NºAsuntos!G17," - ")</f>
        <v>0.32258064516129031</v>
      </c>
      <c r="D17" s="444">
        <f>IF(ISNUMBER('Resol  Asuntos'!D17/NºAsuntos!G17),'Resol  Asuntos'!D17/NºAsuntos!G17," - ")</f>
        <v>0.21994134897360704</v>
      </c>
      <c r="E17" s="445">
        <f>IF(ISNUMBER((NºAsuntos!C17+NºAsuntos!E17)/NºAsuntos!G17),(NºAsuntos!C17+NºAsuntos!E17)/NºAsuntos!G17," - ")</f>
        <v>1.313782991202346</v>
      </c>
      <c r="G17" s="463"/>
    </row>
    <row r="18" spans="1:7" ht="14.25" thickTop="1" thickBot="1">
      <c r="A18" s="848" t="str">
        <f>Datos!A18</f>
        <v>TOTAL</v>
      </c>
      <c r="B18" s="858">
        <f>IF(ISNUMBER(NºAsuntos!G18/NºAsuntos!E18),NºAsuntos!G18/NºAsuntos!E18," - ")</f>
        <v>1.1093051605038602</v>
      </c>
      <c r="C18" s="859">
        <f>IF(ISNUMBER(NºAsuntos!I18/NºAsuntos!G18),NºAsuntos!I18/NºAsuntos!G18," - ")</f>
        <v>0.80805860805860807</v>
      </c>
      <c r="D18" s="862">
        <f>IF(ISNUMBER('Resol  Asuntos'!D18/NºAsuntos!G18),'Resol  Asuntos'!D18/NºAsuntos!G18," - ")</f>
        <v>0.15714285714285714</v>
      </c>
      <c r="E18" s="861">
        <f>IF(ISNUMBER((NºAsuntos!C18+NºAsuntos!E18)/NºAsuntos!G18),(NºAsuntos!C18+NºAsuntos!E18)/NºAsuntos!G18," - ")</f>
        <v>1.806959706959707</v>
      </c>
      <c r="G18" s="463"/>
    </row>
    <row r="19" spans="1:7" ht="15.75" customHeight="1" thickTop="1" thickBot="1">
      <c r="A19" s="793" t="str">
        <f>Datos!A19</f>
        <v>TOTAL JURISDICCIONES</v>
      </c>
      <c r="B19" s="808">
        <f>IF(ISNUMBER(NºAsuntos!G19/NºAsuntos!E19),NºAsuntos!G19/NºAsuntos!E19," - ")</f>
        <v>0.91468555049738665</v>
      </c>
      <c r="C19" s="809">
        <f>IF(ISNUMBER(NºAsuntos!I19/NºAsuntos!G19),NºAsuntos!I19/NºAsuntos!G19," - ")</f>
        <v>1.1052534562211982</v>
      </c>
      <c r="D19" s="810">
        <f>IF(ISNUMBER('Resol  Asuntos'!D19/NºAsuntos!G19),'Resol  Asuntos'!D19/NºAsuntos!G19," - ")</f>
        <v>0.17695852534562212</v>
      </c>
      <c r="E19" s="811">
        <f>IF(ISNUMBER((NºAsuntos!C19+NºAsuntos!E19)/NºAsuntos!G19),(NºAsuntos!C19+NºAsuntos!E19)/NºAsuntos!G19," - ")</f>
        <v>2.1037788018433181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WxvdiYuomcnpoP0Z3tGquVYfH26zwlOezARv5y3+5zVihxB3lUfRLt8J9+iVVbk3MZTtQO5CIKpbTb4VsoGng==" saltValue="TRvKuc5WbtAE1n7dDPJN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DENIA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745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1262</v>
      </c>
      <c r="Y9" s="334">
        <f>SUM(W9:X9)</f>
        <v>1262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8891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505</v>
      </c>
      <c r="AJ9" s="229" t="str">
        <f>IF(ISNUMBER(Datos!BW9),Datos!BW9," - ")</f>
        <v xml:space="preserve"> - </v>
      </c>
      <c r="AK9" s="228" t="str">
        <f>IF(ISNUMBER(Datos!BX9),Datos!BX9," - ")</f>
        <v xml:space="preserve"> - </v>
      </c>
      <c r="AL9" s="243">
        <f>IF(ISNUMBER(NºAsuntos!G9/NºAsuntos!E9),NºAsuntos!G9/NºAsuntos!E9," - ")</f>
        <v>0.77194517351997671</v>
      </c>
      <c r="AM9" s="260">
        <f>IF(ISNUMBER(((NºAsuntos!I9/NºAsuntos!G9)*11)/factor_trimestre),((NºAsuntos!I9/NºAsuntos!G9)*11)/factor_trimestre," - ")</f>
        <v>4.2330940687570831</v>
      </c>
      <c r="AN9" s="244">
        <f>IF(ISNUMBER('Resol  Asuntos'!D9/NºAsuntos!G9),'Resol  Asuntos'!D9/NºAsuntos!G9," - ")</f>
        <v>0.19078201737816397</v>
      </c>
      <c r="AO9" s="245">
        <f>IF(ISNUMBER((NºAsuntos!C9+NºAsuntos!E9)/NºAsuntos!G9),(NºAsuntos!C9+NºAsuntos!E9)/NºAsuntos!G9," - ")</f>
        <v>2.4091424253872309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62</v>
      </c>
      <c r="G10" s="333">
        <f>IF(ISNUMBER(Datos!I10),Datos!I10," - ")</f>
        <v>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48</v>
      </c>
      <c r="X10" s="226">
        <f>IF(ISNUMBER(Datos!Q10),Datos!Q10," - ")</f>
        <v>4</v>
      </c>
      <c r="Y10" s="334">
        <f t="shared" ref="Y10:Y12" si="0">SUM(W10:X10)</f>
        <v>52</v>
      </c>
      <c r="Z10" s="335" t="str">
        <f>IF(ISNUMBER(Datos!CC10),Datos!CC10," - ")</f>
        <v xml:space="preserve"> - </v>
      </c>
      <c r="AA10" s="332">
        <f>IF(ISNUMBER(Datos!L10),Datos!L10,"-")</f>
        <v>55</v>
      </c>
      <c r="AB10" s="334">
        <f>IF(ISNUMBER(Datos!R10),Datos!R10," - ")</f>
        <v>48</v>
      </c>
      <c r="AC10" s="334">
        <f t="shared" ref="AC10:AC12" si="1">IF(ISNUMBER(AA10+AB10),AA10+AB10," - ")</f>
        <v>103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26</v>
      </c>
      <c r="AJ10" s="231" t="str">
        <f>IF(ISNUMBER(Datos!BW10),Datos!BW10," - ")</f>
        <v xml:space="preserve"> - </v>
      </c>
      <c r="AK10" s="232" t="str">
        <f>IF(ISNUMBER(Datos!BX10),Datos!BX10," - ")</f>
        <v xml:space="preserve"> - </v>
      </c>
      <c r="AL10" s="243">
        <f>IF(ISNUMBER(NºAsuntos!G10/NºAsuntos!E10),NºAsuntos!G10/NºAsuntos!E10," - ")</f>
        <v>1.1707317073170731</v>
      </c>
      <c r="AM10" s="260">
        <f>IF(ISNUMBER(((NºAsuntos!I10/NºAsuntos!G10)*11)/factor_trimestre),((NºAsuntos!I10/NºAsuntos!G10)*11)/factor_trimestre," - ")</f>
        <v>3.4375</v>
      </c>
      <c r="AN10" s="244">
        <f>IF(ISNUMBER('Resol  Asuntos'!D10/NºAsuntos!G10),'Resol  Asuntos'!D10/NºAsuntos!G10," - ")</f>
        <v>0.54166666666666663</v>
      </c>
      <c r="AO10" s="245">
        <f>IF(ISNUMBER((NºAsuntos!C10+NºAsuntos!E10)/NºAsuntos!G10),(NºAsuntos!C10+NºAsuntos!E10)/NºAsuntos!G10," - ")</f>
        <v>2.1458333333333335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62</v>
      </c>
      <c r="G13" s="866">
        <f t="shared" si="3"/>
        <v>62</v>
      </c>
      <c r="H13" s="865">
        <f t="shared" si="3"/>
        <v>0</v>
      </c>
      <c r="I13" s="867">
        <f t="shared" si="3"/>
        <v>0</v>
      </c>
      <c r="J13" s="867">
        <f t="shared" si="3"/>
        <v>0</v>
      </c>
      <c r="K13" s="867">
        <f t="shared" si="3"/>
        <v>0</v>
      </c>
      <c r="L13" s="867">
        <f t="shared" si="3"/>
        <v>756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48</v>
      </c>
      <c r="X13" s="867">
        <f t="shared" si="4"/>
        <v>1266</v>
      </c>
      <c r="Y13" s="868">
        <f t="shared" si="4"/>
        <v>1314</v>
      </c>
      <c r="Z13" s="868">
        <f t="shared" si="4"/>
        <v>0</v>
      </c>
      <c r="AA13" s="868">
        <f t="shared" si="4"/>
        <v>55</v>
      </c>
      <c r="AB13" s="868">
        <f t="shared" si="4"/>
        <v>8939</v>
      </c>
      <c r="AC13" s="868">
        <f t="shared" si="4"/>
        <v>103</v>
      </c>
      <c r="AD13" s="868">
        <f t="shared" si="4"/>
        <v>0</v>
      </c>
      <c r="AE13" s="872">
        <f t="shared" si="4"/>
        <v>0</v>
      </c>
      <c r="AF13" s="865">
        <f t="shared" si="4"/>
        <v>0</v>
      </c>
      <c r="AG13" s="873">
        <f t="shared" si="4"/>
        <v>0</v>
      </c>
      <c r="AH13" s="870">
        <f t="shared" si="4"/>
        <v>0</v>
      </c>
      <c r="AI13" s="865">
        <f t="shared" si="4"/>
        <v>531</v>
      </c>
      <c r="AJ13" s="867">
        <f t="shared" si="4"/>
        <v>0</v>
      </c>
      <c r="AK13" s="870">
        <f>SUBTOTAL(9,AK9:AK12)</f>
        <v>0</v>
      </c>
      <c r="AL13" s="874">
        <f>IF(ISNUMBER(NºAsuntos!G13/NºAsuntos!E13),NºAsuntos!G13/NºAsuntos!E13," - ")</f>
        <v>0.77665706051873196</v>
      </c>
      <c r="AM13" s="874">
        <f>IF(ISNUMBER(((NºAsuntos!I13/NºAsuntos!G13)*11)/factor_trimestre),((NºAsuntos!I13/NºAsuntos!G13)*11)/factor_trimestre," - ")</f>
        <v>4.2189239332096484</v>
      </c>
      <c r="AN13" s="875">
        <f>IF(ISNUMBER('Resol  Asuntos'!D13/NºAsuntos!G13),'Resol  Asuntos'!D13/NºAsuntos!G13," - ")</f>
        <v>0.19703153988868274</v>
      </c>
      <c r="AO13" s="876">
        <f>IF(ISNUMBER((NºAsuntos!C13+NºAsuntos!E13)/NºAsuntos!G13),(NºAsuntos!C13+NºAsuntos!E13)/NºAsuntos!G13," - ")</f>
        <v>2.404452690166976</v>
      </c>
      <c r="AP13" s="877" t="str">
        <f t="shared" si="2"/>
        <v xml:space="preserve"> - </v>
      </c>
      <c r="AQ13" s="877">
        <f>IF(ISNUMBER((H13-W13+K13)/(F13)),(H13-W13+K13)/(F13)," - ")</f>
        <v>-0.77419354838709675</v>
      </c>
      <c r="AR13" s="878">
        <f>IF(ISNUMBER((Datos!P13-Datos!Q13)/(Datos!R13-Datos!P13+Datos!Q13)),(Datos!P13-Datos!Q13)/(Datos!R13-Datos!P13+Datos!Q13)," - ")</f>
        <v>-5.3973965498994601E-2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2349</v>
      </c>
      <c r="G15" s="333">
        <f>IF(ISNUMBER(IF(D_I="SI",Datos!I15,Datos!I15+Datos!AC15)),IF(D_I="SI",Datos!I15,Datos!I15+Datos!AC15)," - ")</f>
        <v>2349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2389</v>
      </c>
      <c r="X15" s="226">
        <f>IF(ISNUMBER(Datos!Q15),Datos!Q15," - ")</f>
        <v>50</v>
      </c>
      <c r="Y15" s="334">
        <f>SUM(W15)</f>
        <v>2389</v>
      </c>
      <c r="Z15" s="335" t="str">
        <f>IF(ISNUMBER(Datos!CC15),Datos!CC15," - ")</f>
        <v xml:space="preserve"> - </v>
      </c>
      <c r="AA15" s="332">
        <f>IF(ISNUMBER(IF(D_I="SI",Datos!L15,Datos!L15+Datos!AF15)),IF(D_I="SI",Datos!L15,Datos!L15+Datos!AF15)," - ")</f>
        <v>2082</v>
      </c>
      <c r="AB15" s="334">
        <f>IF(ISNUMBER(Datos!R15),Datos!R15," - ")</f>
        <v>260</v>
      </c>
      <c r="AC15" s="334">
        <f t="shared" ref="AC15:AC17" si="6">IF(ISNUMBER(AA15+AB15),AA15+AB15," - ")</f>
        <v>2342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354</v>
      </c>
      <c r="AJ15" s="231" t="str">
        <f>IF(ISNUMBER(Datos!BW15),Datos!BW15," - ")</f>
        <v xml:space="preserve"> - </v>
      </c>
      <c r="AK15" s="232" t="str">
        <f>IF(ISNUMBER(Datos!BX15),Datos!BX15," - ")</f>
        <v xml:space="preserve"> - </v>
      </c>
      <c r="AL15" s="243">
        <f>IF(ISNUMBER(NºAsuntos!G15/NºAsuntos!E15),NºAsuntos!G15/NºAsuntos!E15," - ")</f>
        <v>1.1258246936852025</v>
      </c>
      <c r="AM15" s="260">
        <f>IF(ISNUMBER(((NºAsuntos!I15/NºAsuntos!G15)*11)/factor_trimestre),((NºAsuntos!I15/NºAsuntos!G15)*11)/factor_trimestre," - ")</f>
        <v>2.6144830473001255</v>
      </c>
      <c r="AN15" s="244">
        <f>IF(ISNUMBER('Resol  Asuntos'!D15/NºAsuntos!G15),'Resol  Asuntos'!D15/NºAsuntos!G15," - ")</f>
        <v>0.1481791544579322</v>
      </c>
      <c r="AO15" s="245">
        <f>IF(ISNUMBER((NºAsuntos!C15+NºAsuntos!E15)/NºAsuntos!G15),(NºAsuntos!C15+NºAsuntos!E15)/NºAsuntos!G15," - ")</f>
        <v>1.8714943491000418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14</v>
      </c>
      <c r="G16" s="333">
        <f>IF(ISNUMBER(IF(D_I="SI",Datos!I16,Datos!I16+Datos!AC16)),IF(D_I="SI",Datos!I16,Datos!I16+Datos!AC16)," - ")</f>
        <v>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14</v>
      </c>
      <c r="AB16" s="334">
        <f>IF(ISNUMBER(Datos!R16),Datos!R16," - ")</f>
        <v>6</v>
      </c>
      <c r="AC16" s="334">
        <f t="shared" si="6"/>
        <v>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109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341</v>
      </c>
      <c r="X17" s="226">
        <f>IF(ISNUMBER(Datos!Q17),Datos!Q17," - ")</f>
        <v>2</v>
      </c>
      <c r="Y17" s="334">
        <f t="shared" si="7"/>
        <v>343</v>
      </c>
      <c r="Z17" s="335" t="str">
        <f>IF(ISNUMBER(Datos!CC17),Datos!CC17," - ")</f>
        <v xml:space="preserve"> - </v>
      </c>
      <c r="AA17" s="332">
        <f>IF(ISNUMBER(Datos!L17),Datos!L17,"-")</f>
        <v>110</v>
      </c>
      <c r="AB17" s="334">
        <f>IF(ISNUMBER(Datos!R17),Datos!R17," - ")</f>
        <v>11</v>
      </c>
      <c r="AC17" s="334">
        <f t="shared" si="6"/>
        <v>121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75</v>
      </c>
      <c r="AJ17" s="231" t="str">
        <f>IF(ISNUMBER(Datos!BW17),Datos!BW17," - ")</f>
        <v xml:space="preserve"> - </v>
      </c>
      <c r="AK17" s="232" t="str">
        <f>IF(ISNUMBER(Datos!BX17),Datos!BX17," - ")</f>
        <v xml:space="preserve"> - </v>
      </c>
      <c r="AL17" s="243">
        <f>IF(ISNUMBER(NºAsuntos!G17/NºAsuntos!E17),NºAsuntos!G17/NºAsuntos!E17," - ")</f>
        <v>1.0058997050147493</v>
      </c>
      <c r="AM17" s="260">
        <f>IF(ISNUMBER(((NºAsuntos!I17/NºAsuntos!G17)*11)/factor_trimestre),((NºAsuntos!I17/NºAsuntos!G17)*11)/factor_trimestre," - ")</f>
        <v>0.967741935483871</v>
      </c>
      <c r="AN17" s="244">
        <f>IF(ISNUMBER('Resol  Asuntos'!D17/NºAsuntos!G17),'Resol  Asuntos'!D17/NºAsuntos!G17," - ")</f>
        <v>0.21994134897360704</v>
      </c>
      <c r="AO17" s="245">
        <f>IF(ISNUMBER((NºAsuntos!C17+NºAsuntos!E17)/NºAsuntos!G17),(NºAsuntos!C17+NºAsuntos!E17)/NºAsuntos!G17," - ")</f>
        <v>1.313782991202346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2363</v>
      </c>
      <c r="G18" s="866">
        <f>SUBTOTAL(9,G15:G17)</f>
        <v>2472</v>
      </c>
      <c r="H18" s="865">
        <f t="shared" ref="H18:O18" si="10">SUBTOTAL(9,H14:H17)</f>
        <v>0</v>
      </c>
      <c r="I18" s="867">
        <f t="shared" si="10"/>
        <v>0</v>
      </c>
      <c r="J18" s="867">
        <f t="shared" si="10"/>
        <v>0</v>
      </c>
      <c r="K18" s="867">
        <f t="shared" si="10"/>
        <v>0</v>
      </c>
      <c r="L18" s="867">
        <f t="shared" si="10"/>
        <v>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2730</v>
      </c>
      <c r="X18" s="867">
        <f t="shared" si="11"/>
        <v>52</v>
      </c>
      <c r="Y18" s="868">
        <f t="shared" si="11"/>
        <v>2732</v>
      </c>
      <c r="Z18" s="868">
        <f t="shared" si="11"/>
        <v>0</v>
      </c>
      <c r="AA18" s="868">
        <f t="shared" si="11"/>
        <v>2206</v>
      </c>
      <c r="AB18" s="868">
        <f t="shared" si="11"/>
        <v>277</v>
      </c>
      <c r="AC18" s="868">
        <f t="shared" si="11"/>
        <v>2483</v>
      </c>
      <c r="AD18" s="868">
        <f t="shared" si="11"/>
        <v>0</v>
      </c>
      <c r="AE18" s="872">
        <f t="shared" si="11"/>
        <v>0</v>
      </c>
      <c r="AF18" s="865">
        <f t="shared" si="11"/>
        <v>0</v>
      </c>
      <c r="AG18" s="873">
        <f t="shared" si="11"/>
        <v>0</v>
      </c>
      <c r="AH18" s="870">
        <f t="shared" si="11"/>
        <v>0</v>
      </c>
      <c r="AI18" s="865">
        <f t="shared" si="11"/>
        <v>429</v>
      </c>
      <c r="AJ18" s="867">
        <f t="shared" si="11"/>
        <v>0</v>
      </c>
      <c r="AK18" s="870">
        <f t="shared" si="11"/>
        <v>0</v>
      </c>
      <c r="AL18" s="874">
        <f>IF(ISNUMBER(NºAsuntos!G18/NºAsuntos!E18),NºAsuntos!G18/NºAsuntos!E18," - ")</f>
        <v>1.1093051605038602</v>
      </c>
      <c r="AM18" s="874">
        <f>IF(ISNUMBER(((NºAsuntos!I18/NºAsuntos!G18)*11)/factor_trimestre),((NºAsuntos!I18/NºAsuntos!G18)*11)/factor_trimestre," - ")</f>
        <v>2.4241758241758244</v>
      </c>
      <c r="AN18" s="875">
        <f>IF(ISNUMBER('Resol  Asuntos'!D18/NºAsuntos!G18),'Resol  Asuntos'!D18/NºAsuntos!G18," - ")</f>
        <v>0.15714285714285714</v>
      </c>
      <c r="AO18" s="876">
        <f>IF(ISNUMBER((NºAsuntos!C18+NºAsuntos!E18)/NºAsuntos!G18),(NºAsuntos!C18+NºAsuntos!E18)/NºAsuntos!G18," - ")</f>
        <v>1.806959706959707</v>
      </c>
      <c r="AP18" s="877" t="str">
        <f t="shared" si="2"/>
        <v xml:space="preserve"> - </v>
      </c>
      <c r="AQ18" s="877">
        <f>IF(ISNUMBER((H18-W18+K18)/(F18)),(H18-W18+K18)/(F18)," - ")</f>
        <v>-1.1553110452814219</v>
      </c>
      <c r="AR18" s="878">
        <f>IF(ISNUMBER((Datos!P18-Datos!Q18)/(Datos!R18-Datos!P18+Datos!Q18)),(Datos!P18-Datos!Q18)/(Datos!R18-Datos!P18+Datos!Q18)," - ")</f>
        <v>0.11244979919678715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2425</v>
      </c>
      <c r="G19" s="821">
        <f t="shared" si="13"/>
        <v>2534</v>
      </c>
      <c r="H19" s="820">
        <f t="shared" si="13"/>
        <v>0</v>
      </c>
      <c r="I19" s="822">
        <f t="shared" si="13"/>
        <v>0</v>
      </c>
      <c r="J19" s="822">
        <f t="shared" si="13"/>
        <v>0</v>
      </c>
      <c r="K19" s="881">
        <f t="shared" si="13"/>
        <v>0</v>
      </c>
      <c r="L19" s="822">
        <f t="shared" si="13"/>
        <v>836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2778</v>
      </c>
      <c r="X19" s="821">
        <f t="shared" si="14"/>
        <v>1318</v>
      </c>
      <c r="Y19" s="828">
        <f t="shared" si="14"/>
        <v>4046</v>
      </c>
      <c r="Z19" s="828">
        <f t="shared" si="14"/>
        <v>0</v>
      </c>
      <c r="AA19" s="828">
        <f t="shared" si="14"/>
        <v>2261</v>
      </c>
      <c r="AB19" s="828">
        <f t="shared" si="14"/>
        <v>9216</v>
      </c>
      <c r="AC19" s="828">
        <f t="shared" si="14"/>
        <v>2586</v>
      </c>
      <c r="AD19" s="828">
        <f t="shared" si="14"/>
        <v>0</v>
      </c>
      <c r="AE19" s="830">
        <f t="shared" si="14"/>
        <v>0</v>
      </c>
      <c r="AF19" s="831">
        <f t="shared" si="14"/>
        <v>0</v>
      </c>
      <c r="AG19" s="832">
        <f t="shared" si="14"/>
        <v>0</v>
      </c>
      <c r="AH19" s="830">
        <f t="shared" si="14"/>
        <v>0</v>
      </c>
      <c r="AI19" s="820">
        <f t="shared" si="14"/>
        <v>960</v>
      </c>
      <c r="AJ19" s="820">
        <f t="shared" si="14"/>
        <v>0</v>
      </c>
      <c r="AK19" s="830">
        <f t="shared" si="14"/>
        <v>0</v>
      </c>
      <c r="AL19" s="884">
        <f>IF(ISNUMBER(NºAsuntos!G19/NºAsuntos!E19),NºAsuntos!G19/NºAsuntos!E19," - ")</f>
        <v>0.91468555049738665</v>
      </c>
      <c r="AM19" s="885">
        <f>IF(ISNUMBER(((NºAsuntos!I19/NºAsuntos!G19)*11)/factor_trimestre),((NºAsuntos!I19/NºAsuntos!G19)*11)/factor_trimestre," - ")</f>
        <v>3.3157603686635948</v>
      </c>
      <c r="AN19" s="885">
        <f>IF(ISNUMBER('Resol  Asuntos'!D19/NºAsuntos!G19),'Resol  Asuntos'!D19/NºAsuntos!G19," - ")</f>
        <v>0.17695852534562212</v>
      </c>
      <c r="AO19" s="886">
        <f>IF(ISNUMBER((NºAsuntos!C19+NºAsuntos!E19)/NºAsuntos!G19),(NºAsuntos!C19+NºAsuntos!E19)/NºAsuntos!G19," - ")</f>
        <v>2.1037788018433181</v>
      </c>
      <c r="AP19" s="887" t="str">
        <f t="shared" si="2"/>
        <v xml:space="preserve"> - </v>
      </c>
      <c r="AQ19" s="888">
        <f>IF(OR(ISNUMBER(FIND("01",Criterios!A8,1)),ISNUMBER(FIND("02",Criterios!A8,1)),ISNUMBER(FIND("03",Criterios!A8,1)),ISNUMBER(FIND("04",Criterios!A8,1))),(I19-W19+K19)/(F19-K19),(H19-W19+K19)/(F19-K19))</f>
        <v>-1.1455670103092783</v>
      </c>
      <c r="AR19" s="889">
        <f>IF(ISNUMBER((Datos!P19-Datos!Q19)/(Datos!R19-Datos!P19+Datos!Q19)),(Datos!P19-Datos!Q19)/(Datos!R19-Datos!P19+Datos!Q19)," - ")</f>
        <v>-4.9700969272014846E-2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844.66666666666663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1265.4005294767344</v>
      </c>
      <c r="G21" s="253">
        <f>IF(ISNUMBER(STDEV(G8:G18)),STDEV(G8:G18),"-")</f>
        <v>1213.8846183499759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1275.637409297799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233.10063226406049</v>
      </c>
      <c r="AJ21" s="252">
        <f t="shared" si="18"/>
        <v>0</v>
      </c>
      <c r="AK21" s="254">
        <f t="shared" si="18"/>
        <v>0</v>
      </c>
      <c r="AL21" s="249">
        <f t="shared" si="18"/>
        <v>0.17809706597175248</v>
      </c>
      <c r="AM21" s="250">
        <f t="shared" si="18"/>
        <v>1.2494932531261935</v>
      </c>
      <c r="AN21" s="250">
        <f t="shared" si="18"/>
        <v>0.14895232160278435</v>
      </c>
      <c r="AO21" s="251">
        <f t="shared" si="18"/>
        <v>0.41869548205091656</v>
      </c>
      <c r="AP21" s="291" t="str">
        <f t="shared" si="18"/>
        <v>-</v>
      </c>
      <c r="AQ21" s="292">
        <f t="shared" si="18"/>
        <v>0.2694907664828205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QrlRiSkvQoI5gPd3DdW2JqJxC2Jqu+aRu8pTNvc+sQWIEM6UV4pWJcNyPsHPSm4sKI6bZYOgkDisyr3aS2NnA==" saltValue="WD6OPqf6vjJsD0Uha6alf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DENIA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-1.7509727626459144E-2</v>
      </c>
      <c r="I9" s="350">
        <f>IF(ISNUMBER((Tasas!C9-Datos!BE9)/Datos!BE9),(Tasas!C9-Datos!BE9)/Datos!BE9," - ")</f>
        <v>0.363081073432025</v>
      </c>
      <c r="J9" s="349">
        <f>IF(ISNUMBER((Tasas!D9-Datos!BF9)/Datos!BF9),(Tasas!D9-Datos!BF9)/Datos!BF9," - ")</f>
        <v>-0.56279121017504086</v>
      </c>
      <c r="K9" s="351">
        <f>IF(ISNUMBER((Tasas!E9-Datos!BG9)/Datos!BG9),(Tasas!E9-Datos!BG9)/Datos!BG9," - ")</f>
        <v>0.1837503080655844</v>
      </c>
      <c r="M9" t="e">
        <f>IF(Monitorios="SI",Datos!CE9,0)</f>
        <v>#REF!</v>
      </c>
      <c r="N9" t="e">
        <f>IF(Monitorios="SI",Datos!CF9,0)</f>
        <v>#REF!</v>
      </c>
      <c r="O9" t="e">
        <f>IF(Monitorios="SI",Datos!CG9,0)</f>
        <v>#REF!</v>
      </c>
      <c r="P9" t="e">
        <f>IF(Monitorios="SI",Datos!CH9,0)</f>
        <v>#REF!</v>
      </c>
      <c r="Q9">
        <f>IF(J_V="SI",0,Datos!AG9)</f>
        <v>101</v>
      </c>
      <c r="R9">
        <f>IF(J_V="SI",0,Datos!AH9)</f>
        <v>226</v>
      </c>
      <c r="S9">
        <f>IF(J_V="SI",0,Datos!AI9)</f>
        <v>238</v>
      </c>
      <c r="T9">
        <f>IF(J_V="SI",0,Datos!AJ9)</f>
        <v>89</v>
      </c>
    </row>
    <row r="10" spans="2:20" ht="14.25">
      <c r="B10" s="275" t="s">
        <v>246</v>
      </c>
      <c r="C10" s="7" t="str">
        <f>Datos!A10</f>
        <v>Jdos. Violencia contra la mujer</v>
      </c>
      <c r="D10" s="352">
        <f>IF(ISNUMBER((Datos!I10-Datos!S10)/Datos!S10),(Datos!I10-Datos!S10)/Datos!S10," - ")</f>
        <v>-0.38613861386138615</v>
      </c>
      <c r="E10" s="348">
        <f>IF(ISNUMBER((Datos!J10-Datos!T10)/Datos!T10),(Datos!J10-Datos!T10)/Datos!T10," - ")</f>
        <v>-0.1276595744680851</v>
      </c>
      <c r="F10" s="348">
        <f>IF(ISNUMBER((Datos!K10-Datos!U10)/Datos!U10),(Datos!K10-Datos!U10)/Datos!U10," - ")</f>
        <v>-0.2</v>
      </c>
      <c r="G10" s="349">
        <f>IF(ISNUMBER((Datos!L10-Datos!V10)/Datos!V10),(Datos!L10-Datos!V10)/Datos!V10," - ")</f>
        <v>-0.375</v>
      </c>
      <c r="H10" s="230">
        <f>IF(ISNUMBER((Datos!M10-Datos!W10)/Datos!W10),(Datos!M10-Datos!W10)/Datos!W10," - ")</f>
        <v>0.625</v>
      </c>
      <c r="I10" s="350">
        <f>IF(ISNUMBER((Tasas!C10-Datos!BE10)/Datos!BE10),(Tasas!C10-Datos!BE10)/Datos!BE10," - ")</f>
        <v>-0.21875</v>
      </c>
      <c r="J10" s="349">
        <f>IF(ISNUMBER((Tasas!D10-Datos!BF10)/Datos!BF10),(Tasas!D10-Datos!BF10)/Datos!BF10," - ")</f>
        <v>1.03125</v>
      </c>
      <c r="K10" s="351">
        <f>IF(ISNUMBER((Tasas!E10-Datos!BG10)/Datos!BG10),(Tasas!E10-Datos!BG10)/Datos!BG10," - ")</f>
        <v>-0.13006756756756754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1.8867924528301887E-3</v>
      </c>
      <c r="I13" s="357">
        <f>IF(ISNUMBER((Tasas!C13-Datos!BE13)/Datos!BE13),(Tasas!C13-Datos!BE13)/Datos!BE13," - ")</f>
        <v>0.3455255494413233</v>
      </c>
      <c r="J13" s="355">
        <f>IF(ISNUMBER((Tasas!D13-Datos!BF13)/Datos!BF13),(Tasas!D13-Datos!BF13)/Datos!BF13," - ")</f>
        <v>-0.54436456400742117</v>
      </c>
      <c r="K13" s="358">
        <f>IF(ISNUMBER((Tasas!E13-Datos!BG13)/Datos!BG13),(Tasas!E13-Datos!BG13)/Datos!BG13," - ")</f>
        <v>0.17567160044033761</v>
      </c>
      <c r="M13" t="e">
        <f>IF(Monitorios="SI",Datos!CE13,0)</f>
        <v>#REF!</v>
      </c>
      <c r="N13" t="e">
        <f>IF(Monitorios="SI",Datos!CF13,0)</f>
        <v>#REF!</v>
      </c>
      <c r="O13" t="e">
        <f>IF(Monitorios="SI",Datos!CG13,0)</f>
        <v>#REF!</v>
      </c>
      <c r="P13" t="e">
        <f>IF(Monitorios="SI",Datos!CH13,0)</f>
        <v>#REF!</v>
      </c>
      <c r="Q13">
        <f>IF(J_V="SI",0,Datos!AG13)</f>
        <v>101</v>
      </c>
      <c r="R13">
        <f>IF(J_V="SI",0,Datos!AH13)</f>
        <v>226</v>
      </c>
      <c r="S13">
        <f>IF(J_V="SI",0,Datos!AI13)</f>
        <v>238</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0.22855648535564854</v>
      </c>
      <c r="E15" s="348">
        <f>IF(ISNUMBER(
   IF(D_I="SI",(Datos!J15-Datos!T15)/Datos!T15,(Datos!J15+Datos!AD15-(Datos!T15+Datos!AL15))/(Datos!T15+Datos!AL15))
     ),IF(D_I="SI",(Datos!J15-Datos!T15)/Datos!T15,(Datos!J15+Datos!AD15-(Datos!T15+Datos!AL15))/(Datos!T15+Datos!AL15))," - ")</f>
        <v>0.18481295365717476</v>
      </c>
      <c r="F15" s="348">
        <f>IF(ISNUMBER(
   IF(D_I="SI",(Datos!K15-Datos!U15)/Datos!U15,(Datos!K15+Datos!AE15-(Datos!U15+Datos!AM15))/(Datos!U15+Datos!AM15))
     ),IF(D_I="SI",(Datos!K15-Datos!U15)/Datos!U15,(Datos!K15+Datos!AE15-(Datos!U15+Datos!AM15))/(Datos!U15+Datos!AM15))," - ")</f>
        <v>0.34667418263810595</v>
      </c>
      <c r="G15" s="349">
        <f>IF(ISNUMBER(
   IF(D_I="SI",(Datos!L15-Datos!V15)/Datos!V15,(Datos!L15+Datos!AF15-(Datos!V15+Datos!AN15))/(Datos!V15+Datos!AN15))
     ),IF(D_I="SI",(Datos!L15-Datos!V15)/Datos!V15,(Datos!L15+Datos!AF15-(Datos!V15+Datos!AN15))/(Datos!V15+Datos!AN15))," - ")</f>
        <v>6.6052227342549924E-2</v>
      </c>
      <c r="H15" s="230">
        <f>IF(ISNUMBER((Datos!M15-Datos!W15)/Datos!W15),(Datos!M15-Datos!W15)/Datos!W15," - ")</f>
        <v>0.17218543046357615</v>
      </c>
      <c r="I15" s="350">
        <f>IF(ISNUMBER((Tasas!C15-Datos!BE15)/Datos!BE15),(Tasas!C15-Datos!BE15)/Datos!BE15," - ")</f>
        <v>-0.20838147705915291</v>
      </c>
      <c r="J15" s="349">
        <f>IF(ISNUMBER((Tasas!D15-Datos!BF15)/Datos!BF15),(Tasas!D15-Datos!BF15)/Datos!BF15," - ")</f>
        <v>-0.12957013242261023</v>
      </c>
      <c r="K15" s="351">
        <f>IF(ISNUMBER((Tasas!E15-Datos!BG15)/Datos!BG15),(Tasas!E15-Datos!BG15)/Datos!BG15," - ")</f>
        <v>-0.10342128671253735</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-0.125</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-0.125</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-0.37356321839080459</v>
      </c>
      <c r="E17" s="348">
        <f>IF(ISNUMBER(
   IF(D_I="SI",(Datos!J17-Datos!T17)/Datos!T17,(Datos!J17+Datos!AD17-(Datos!T17+Datos!AL17))/(Datos!T17+Datos!AL17))
     ),IF(D_I="SI",(Datos!J17-Datos!T17)/Datos!T17,(Datos!J17+Datos!AD17-(Datos!T17+Datos!AL17))/(Datos!T17+Datos!AL17))," - ")</f>
        <v>0.32941176470588235</v>
      </c>
      <c r="F17" s="348">
        <f>IF(ISNUMBER(
   IF(D_I="SI",(Datos!K17-Datos!U17)/Datos!U17,(Datos!K17+Datos!AE17-(Datos!U17+Datos!AM17))/(Datos!U17+Datos!AM17))
     ),IF(D_I="SI",(Datos!K17-Datos!U17)/Datos!U17,(Datos!K17+Datos!AE17-(Datos!U17+Datos!AM17))/(Datos!U17+Datos!AM17))," - ")</f>
        <v>0.17993079584775087</v>
      </c>
      <c r="G17" s="349">
        <f>IF(ISNUMBER(
   IF(D_I="SI",(Datos!L17-Datos!V17)/Datos!V17,(Datos!L17+Datos!AF17-(Datos!V17+Datos!AN17))/(Datos!V17+Datos!AN17))
     ),IF(D_I="SI",(Datos!L17-Datos!V17)/Datos!V17,(Datos!L17+Datos!AF17-(Datos!V17+Datos!AN17))/(Datos!V17+Datos!AN17))," - ")</f>
        <v>-0.21428571428571427</v>
      </c>
      <c r="H17" s="230">
        <f>IF(ISNUMBER((Datos!M17-Datos!W17)/Datos!W17),(Datos!M17-Datos!W17)/Datos!W17," - ")</f>
        <v>0.11940298507462686</v>
      </c>
      <c r="I17" s="350">
        <f>IF(ISNUMBER((Tasas!C17-Datos!BE17)/Datos!BE17),(Tasas!C17-Datos!BE17)/Datos!BE17," - ")</f>
        <v>-0.33410138248847926</v>
      </c>
      <c r="J17" s="349">
        <f>IF(ISNUMBER((Tasas!D17-Datos!BF17)/Datos!BF17),(Tasas!D17-Datos!BF17)/Datos!BF17," - ")</f>
        <v>-5.1297763382500985E-2</v>
      </c>
      <c r="K17" s="351">
        <f>IF(ISNUMBER((Tasas!E17-Datos!BG17)/Datos!BG17),(Tasas!E17-Datos!BG17)/Datos!BG17," - ")</f>
        <v>-0.11495737888699775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0.17602283539486205</v>
      </c>
      <c r="E18" s="354">
        <f>IF(ISNUMBER(
   IF(D_I="SI",(Datos!J18-Datos!T18)/Datos!T18,(Datos!J18+Datos!AD18-(Datos!T18+Datos!AL18))/(Datos!T18+Datos!AL18))
     ),IF(D_I="SI",(Datos!J18-Datos!T18)/Datos!T18,(Datos!J18+Datos!AD18-(Datos!T18+Datos!AL18))/(Datos!T18+Datos!AL18))," - ")</f>
        <v>0.20283479960899314</v>
      </c>
      <c r="F18" s="354">
        <f>IF(ISNUMBER(
   IF(D_I="SI",(Datos!K18-Datos!U18)/Datos!U18,(Datos!K18+Datos!AE18-(Datos!U18+Datos!AM18))/(Datos!U18+Datos!AM18))
     ),IF(D_I="SI",(Datos!K18-Datos!U18)/Datos!U18,(Datos!K18+Datos!AE18-(Datos!U18+Datos!AM18))/(Datos!U18+Datos!AM18))," - ")</f>
        <v>0.32331555986427535</v>
      </c>
      <c r="G18" s="355">
        <f>IF(ISNUMBER(
   IF(D_I="SI",(Datos!L18-Datos!V18)/Datos!V18,(Datos!L18+Datos!AF18-(Datos!V18+Datos!AN18))/(Datos!V18+Datos!AN18))
     ),IF(D_I="SI",(Datos!L18-Datos!V18)/Datos!V18,(Datos!L18+Datos!AF18-(Datos!V18+Datos!AN18))/(Datos!V18+Datos!AN18))," - ")</f>
        <v>4.5993361782835467E-2</v>
      </c>
      <c r="H18" s="356">
        <f>IF(ISNUMBER((Datos!M18-Datos!W18)/Datos!W18),(Datos!M18-Datos!W18)/Datos!W18," - ")</f>
        <v>0.16260162601626016</v>
      </c>
      <c r="I18" s="357">
        <f>IF(ISNUMBER((Tasas!C18-Datos!BE18)/Datos!BE18),(Tasas!C18-Datos!BE18)/Datos!BE18," - ")</f>
        <v>-0.20956618851355688</v>
      </c>
      <c r="J18" s="355">
        <f>IF(ISNUMBER((Tasas!D18-Datos!BF18)/Datos!BF18),(Tasas!D18-Datos!BF18)/Datos!BF18," - ")</f>
        <v>-0.12144792876500198</v>
      </c>
      <c r="K18" s="358">
        <f>IF(ISNUMBER((Tasas!E18-Datos!BG18)/Datos!BG18),(Tasas!E18-Datos!BG18)/Datos!BG18," - ")</f>
        <v>-0.10131198759453335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0.10324008854900382</v>
      </c>
      <c r="E19" s="363">
        <f>IF(ISNUMBER(
   IF(J_V="SI",(Datos!J19-Datos!T19)/Datos!T19,(Datos!J19+Datos!Z19-(Datos!T19+Datos!AH19))/(Datos!T19+Datos!AH19))
     ),IF(J_V="SI",(Datos!J19-Datos!T19)/Datos!T19,(Datos!J19+Datos!Z19-(Datos!T19+Datos!AH19))/(Datos!T19+Datos!AH19))," - ")</f>
        <v>0.32506702412868632</v>
      </c>
      <c r="F19" s="363">
        <f>IF(ISNUMBER(
   IF(J_V="SI",(Datos!K19-Datos!U19)/Datos!U19,(Datos!K19+Datos!AA19-(Datos!U19+Datos!AI19))/(Datos!U19+Datos!AI19))
     ),IF(J_V="SI",(Datos!K19-Datos!U19)/Datos!U19,(Datos!K19+Datos!AA19-(Datos!U19+Datos!AI19))/(Datos!U19+Datos!AI19))," - ")</f>
        <v>0.16591446378680422</v>
      </c>
      <c r="G19" s="364">
        <f>IF(ISNUMBER(
   IF(J_V="SI",(Datos!L19-Datos!V19)/Datos!V19,(Datos!L19+Datos!AB19-(Datos!V19+Datos!AJ19))/(Datos!V19+Datos!AJ19))
     ),IF(J_V="SI",(Datos!L19-Datos!V19)/Datos!V19,(Datos!L19+Datos!AB19-(Datos!V19+Datos!AJ19))/(Datos!V19+Datos!AJ19))," - ")</f>
        <v>0.24501661129568106</v>
      </c>
      <c r="H19" s="365">
        <f>IF(ISNUMBER((Datos!M19-Datos!W19)/Datos!W19),(Datos!M19-Datos!W19)/Datos!W19," - ")</f>
        <v>6.7853170189099005E-2</v>
      </c>
      <c r="I19" s="362">
        <f>IF(ISNUMBER((Tasas!C19-Datos!BE19)/Datos!BE19),(Tasas!C19-Datos!BE19)/Datos!BE19," - ")</f>
        <v>6.7845583844940882E-2</v>
      </c>
      <c r="J19" s="363">
        <f>IF(ISNUMBER((Tasas!D19-Datos!BF19)/Datos!BF19),(Tasas!D19-Datos!BF19)/Datos!BF19," - ")</f>
        <v>-0.44701946377892565</v>
      </c>
      <c r="K19" s="364">
        <f>IF(ISNUMBER((Tasas!E19-Datos!BG19)/Datos!BG19),(Tasas!E19-Datos!BG19)/Datos!BG19," - ")</f>
        <v>3.640897458729065E-2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0.29214554917785668</v>
      </c>
      <c r="E21" s="278">
        <f t="shared" si="1"/>
        <v>0.1943011306377348</v>
      </c>
      <c r="F21" s="278">
        <f t="shared" si="1"/>
        <v>0.25264722104825815</v>
      </c>
      <c r="G21" s="279">
        <f t="shared" si="1"/>
        <v>0.18446410202347754</v>
      </c>
      <c r="H21" s="285">
        <f t="shared" si="1"/>
        <v>0.23355948693065454</v>
      </c>
      <c r="I21" s="277">
        <f t="shared" si="1"/>
        <v>0.31195333524758689</v>
      </c>
      <c r="J21" s="278">
        <f t="shared" si="1"/>
        <v>0.58083919234422998</v>
      </c>
      <c r="K21" s="279">
        <f t="shared" si="1"/>
        <v>0.15123321802167058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6FSmbRlGMCLNEaVmeguDwi/8oo6ktpA8G+RyPNktZEnjAr9td2taCDAIIYxavZvhINZETfL/F82zBx77CsL4g==" saltValue="jmoQ1rVGnZgWmMu/EeEp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15.521344918775972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62</v>
      </c>
      <c r="D10" s="225">
        <f>IF(ISNUMBER(Datos!I10),Datos!I10," - ")</f>
        <v>62</v>
      </c>
      <c r="E10" s="226">
        <f>IF(ISNUMBER(Datos!J10),Datos!J10," - ")</f>
        <v>41</v>
      </c>
      <c r="F10" s="226">
        <f>IF(ISNUMBER(Datos!K10),Datos!K10," - ")</f>
        <v>48</v>
      </c>
      <c r="G10" s="1034" t="str">
        <f>IF(Datos!E10&lt;&gt;"",Datos!E10,Datos!D10)</f>
        <v>37</v>
      </c>
      <c r="H10" s="227">
        <f>IF(ISNUMBER(Datos!L10),Datos!L10," - ")</f>
        <v>55</v>
      </c>
      <c r="I10" s="1044" t="str">
        <f>IF(ISNUMBER(Datos!AS10/Datos!BM10),Datos!AS10/Datos!BM10," - ")</f>
        <v xml:space="preserve"> - </v>
      </c>
      <c r="J10" s="1045">
        <f>IF(ISNUMBER(Datos!BY10/Datos!CN10),Datos!BY10/Datos!CN10," - ")</f>
        <v>0</v>
      </c>
      <c r="K10" s="230">
        <f t="shared" ref="K10:K12" si="1">IF(ISNUMBER((E10-F10)/C10),(E10-F10)/C10," - ")</f>
        <v>-0.11290322580645161</v>
      </c>
      <c r="L10" s="1025">
        <f>IF(ISNUMBER(NºAsuntos!I10/NºAsuntos!G10),(NºAsuntos!I10/NºAsuntos!G10)*11," - ")</f>
        <v>12.604166666666666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62</v>
      </c>
      <c r="D13" s="1049">
        <f>SUBTOTAL(9,D9:D12)</f>
        <v>62</v>
      </c>
      <c r="E13" s="1050">
        <f>SUBTOTAL(9,E9:E12)</f>
        <v>41</v>
      </c>
      <c r="F13" s="1051">
        <f>SUBTOTAL(9,F9:F12)</f>
        <v>48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2349</v>
      </c>
      <c r="D15" s="225">
        <f>IF(ISNUMBER(IF(D_I="SI",Datos!I15,Datos!I15+Datos!AC15)),IF(D_I="SI",Datos!I15,Datos!I15+Datos!AC15)," - ")</f>
        <v>2349</v>
      </c>
      <c r="E15" s="226">
        <f>IF(ISNUMBER(IF(D_I="SI",Datos!J15,Datos!J15+Datos!AD15)),IF(D_I="SI",Datos!J15,Datos!J15+Datos!AD15)," - ")</f>
        <v>2122</v>
      </c>
      <c r="F15" s="226">
        <f>IF(ISNUMBER(IF(D_I="SI",Datos!K15,Datos!K15+Datos!AE15)),IF(D_I="SI",Datos!K15,Datos!K15+Datos!AE15)," - ")</f>
        <v>2389</v>
      </c>
      <c r="G15" s="1034" t="str">
        <f>IF(Datos!E15&lt;&gt;"",Datos!E15,Datos!D15)</f>
        <v>03</v>
      </c>
      <c r="H15" s="227">
        <f>IF(ISNUMBER(IF(D_I="SI",Datos!L15,Datos!L15+Datos!AF15)),IF(D_I="SI",Datos!L15,Datos!L15+Datos!AF15)," - ")</f>
        <v>2082</v>
      </c>
      <c r="I15" s="1044" t="str">
        <f>IF(ISNUMBER(Datos!AS15/Datos!BM15),Datos!AS15/Datos!BM15," - ")</f>
        <v xml:space="preserve"> - </v>
      </c>
      <c r="J15" s="1045">
        <f>IF(ISNUMBER(Datos!BY15/Datos!CN15),Datos!BY15/Datos!CN15," - ")</f>
        <v>0</v>
      </c>
      <c r="K15" s="230">
        <f t="shared" ref="K15:K17" si="3">IF(ISNUMBER((E15-F15)/C15),(E15-F15)/C15," - ")</f>
        <v>-0.1136653895274585</v>
      </c>
      <c r="L15" s="1025">
        <f>IF(ISNUMBER(NºAsuntos!I15/NºAsuntos!G15),(NºAsuntos!I15/NºAsuntos!G15)*11," - ")</f>
        <v>9.5864378401004604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14</v>
      </c>
      <c r="D16" s="225">
        <f>IF(ISNUMBER(IF(D_I="SI",Datos!I16,Datos!I16+Datos!AC16)),IF(D_I="SI",Datos!I16,Datos!I16+Datos!AC16)," - ")</f>
        <v>14</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14</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112</v>
      </c>
      <c r="D17" s="225">
        <f>IF(ISNUMBER(IF(D_I="SI",Datos!I17,Datos!I17+Datos!AC17)),IF(D_I="SI",Datos!I17,Datos!I17+Datos!AC17)," - ")</f>
        <v>109</v>
      </c>
      <c r="E17" s="226">
        <f>IF(ISNUMBER(IF(D_I="SI",Datos!J17,Datos!J17+Datos!AD17)),IF(D_I="SI",Datos!J17,Datos!J17+Datos!AD17)," - ")</f>
        <v>339</v>
      </c>
      <c r="F17" s="226">
        <f>IF(ISNUMBER(IF(D_I="SI",Datos!K17,Datos!K17+Datos!AE17)),IF(D_I="SI",Datos!K17,Datos!K17+Datos!AE17)," - ")</f>
        <v>341</v>
      </c>
      <c r="G17" s="1034" t="str">
        <f>IF(Datos!E17&lt;&gt;"",Datos!E17,Datos!D17)</f>
        <v>37</v>
      </c>
      <c r="H17" s="227">
        <f>IF(ISNUMBER(IF(D_I="SI",Datos!L17,Datos!L17+Datos!AF17)),IF(D_I="SI",Datos!L17,Datos!L17+Datos!AF17)," - ")</f>
        <v>110</v>
      </c>
      <c r="I17" s="1044" t="str">
        <f>IF(ISNUMBER(Datos!AS17/Datos!BM17),Datos!AS17/Datos!BM17," - ")</f>
        <v xml:space="preserve"> - </v>
      </c>
      <c r="J17" s="1045" t="str">
        <f>IF(ISNUMBER((Datos!BY17+Datos!BZ17)/Datos!CN17),(Datos!BY17+Datos!BZ17)/Datos!CN17," - ")</f>
        <v xml:space="preserve"> - </v>
      </c>
      <c r="K17" s="230">
        <f t="shared" si="3"/>
        <v>-1.7857142857142856E-2</v>
      </c>
      <c r="L17" s="1025">
        <f>IF(ISNUMBER(NºAsuntos!I17/NºAsuntos!G17),(NºAsuntos!I17/NºAsuntos!G17)*11," - ")</f>
        <v>3.5483870967741935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2475</v>
      </c>
      <c r="D18" s="1049">
        <f>SUBTOTAL(9,D15:D17)</f>
        <v>2472</v>
      </c>
      <c r="E18" s="1050">
        <f>SUBTOTAL(9,E15:E17)</f>
        <v>2461</v>
      </c>
      <c r="F18" s="1050">
        <f>SUBTOTAL(9,F15:F17)</f>
        <v>2730</v>
      </c>
      <c r="G18" s="1052" t="str">
        <f ca="1">INDIRECT(CONCATENATE("G",ROW()-1))</f>
        <v>37</v>
      </c>
      <c r="H18" s="1053">
        <f ca="1">SUMIF(G$14:G17,G18,H$14:H17)</f>
        <v>110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2537</v>
      </c>
      <c r="D19" s="1071">
        <f>SUBTOTAL(9,D9:D18)</f>
        <v>2534</v>
      </c>
      <c r="E19" s="1072">
        <f>SUBTOTAL(9,E9:E18)</f>
        <v>2502</v>
      </c>
      <c r="F19" s="1072">
        <f>SUBTOTAL(9,F9:F18)</f>
        <v>2778</v>
      </c>
      <c r="G19" s="1073"/>
      <c r="H19" s="1074">
        <f ca="1">SUMIF(B9:B18,"TOTAL",H9:H18)</f>
        <v>110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0L8XenNoJB1PSSLsYSpHqNubu81COpvII8/onYDrfpvrA7DEPc2wAkofWBwoXO8RaJxwntI1Glq6v+nmbnGH1A==" saltValue="bhivFkpIME3RJgslN7aS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2aclIyHIZ0sEMOp3wb726Wq0vl/LEmcmcoZz2Ex+wZbGqVj5PwPn4Q010AGhyYrcuKVV7504XTfINbUDj3pxQ==" saltValue="ZbpBfGwTYvA/kklNr/gR2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2836</v>
      </c>
      <c r="J9" s="181">
        <v>3230</v>
      </c>
      <c r="K9" s="181">
        <v>2422</v>
      </c>
      <c r="L9" s="181">
        <v>3649</v>
      </c>
      <c r="M9" s="181">
        <v>505</v>
      </c>
      <c r="N9" s="181">
        <v>1226</v>
      </c>
      <c r="O9" s="181">
        <v>1172</v>
      </c>
      <c r="P9" s="181">
        <v>745</v>
      </c>
      <c r="Q9" s="181">
        <v>1262</v>
      </c>
      <c r="R9" s="181">
        <v>8891</v>
      </c>
      <c r="S9" s="181">
        <v>2665</v>
      </c>
      <c r="T9" s="181">
        <v>2157</v>
      </c>
      <c r="U9" s="181">
        <v>2292</v>
      </c>
      <c r="V9" s="181">
        <v>2530</v>
      </c>
      <c r="W9" s="181">
        <v>514</v>
      </c>
      <c r="X9" s="188">
        <v>1104</v>
      </c>
      <c r="Y9" s="191">
        <v>112</v>
      </c>
      <c r="Z9" s="181">
        <v>199</v>
      </c>
      <c r="AA9" s="181">
        <v>225</v>
      </c>
      <c r="AB9" s="181">
        <v>86</v>
      </c>
      <c r="AC9" s="181">
        <v>0</v>
      </c>
      <c r="AD9" s="181">
        <v>0</v>
      </c>
      <c r="AE9" s="181">
        <v>0</v>
      </c>
      <c r="AF9" s="188">
        <v>0</v>
      </c>
      <c r="AG9" s="191">
        <v>101</v>
      </c>
      <c r="AH9" s="181">
        <v>226</v>
      </c>
      <c r="AI9" s="181">
        <v>238</v>
      </c>
      <c r="AJ9" s="192">
        <v>89</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2766</v>
      </c>
      <c r="AZ9" s="123">
        <f>IF(ISNUMBER(IF(J_V="SI",T9,T9+AH9)),IF(J_V="SI",T9,T9+AH9)," - ")</f>
        <v>2383</v>
      </c>
      <c r="BA9" s="124">
        <f>IF(ISNUMBER(IF(J_V="SI",U9,U9+AI9)),IF(J_V="SI",U9,U9+AI9)," - ")</f>
        <v>2530</v>
      </c>
      <c r="BB9" s="124">
        <f>IF(ISNUMBER(IF(J_V="SI",V9,V9+AJ9)),IF(J_V="SI",V9,V9+AJ9)," - ")</f>
        <v>2619</v>
      </c>
      <c r="BC9" s="125">
        <f>IF(ISNUMBER(X9),X9," - ")</f>
        <v>1104</v>
      </c>
      <c r="BD9" s="126">
        <f>IF(ISNUMBER(BA9/AZ9),BA9/AZ9," - ")</f>
        <v>1.0616869492236676</v>
      </c>
      <c r="BE9" s="127">
        <f>IF(ISNUMBER(BB9/BA9),BB9/BA9, " - ")</f>
        <v>1.0351778656126482</v>
      </c>
      <c r="BF9" s="127">
        <f>IF(ISNUMBER(BC9/BA9),BC9/BA9, " - ")</f>
        <v>0.43636363636363634</v>
      </c>
      <c r="BG9" s="196">
        <f>IF(ISNUMBER((AY9+AZ9)/BA9),(AY9+AZ9)/BA9," - ")</f>
        <v>2.0351778656126482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62</v>
      </c>
      <c r="J10" s="181">
        <v>41</v>
      </c>
      <c r="K10" s="181">
        <v>48</v>
      </c>
      <c r="L10" s="181">
        <v>55</v>
      </c>
      <c r="M10" s="181">
        <v>26</v>
      </c>
      <c r="N10" s="181">
        <v>18</v>
      </c>
      <c r="O10" s="181">
        <v>8</v>
      </c>
      <c r="P10" s="181">
        <v>11</v>
      </c>
      <c r="Q10" s="181">
        <v>4</v>
      </c>
      <c r="R10" s="181">
        <v>48</v>
      </c>
      <c r="S10" s="181">
        <v>101</v>
      </c>
      <c r="T10" s="181">
        <v>47</v>
      </c>
      <c r="U10" s="181">
        <v>60</v>
      </c>
      <c r="V10" s="181">
        <v>88</v>
      </c>
      <c r="W10" s="181">
        <v>16</v>
      </c>
      <c r="X10" s="188">
        <v>20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101</v>
      </c>
      <c r="AZ10" s="129">
        <f t="shared" si="0"/>
        <v>47</v>
      </c>
      <c r="BA10" s="129">
        <f t="shared" si="0"/>
        <v>60</v>
      </c>
      <c r="BB10" s="129">
        <f t="shared" si="0"/>
        <v>88</v>
      </c>
      <c r="BC10" s="125">
        <f t="shared" si="0"/>
        <v>16</v>
      </c>
      <c r="BD10" s="126">
        <f>IF(ISNUMBER(BA10/AZ10),BA10/AZ10," - ")</f>
        <v>1.2765957446808511</v>
      </c>
      <c r="BE10" s="127">
        <f>IF(ISNUMBER(BB10/BA10),BB10/BA10, " - ")</f>
        <v>1.4666666666666666</v>
      </c>
      <c r="BF10" s="127">
        <f>IF(ISNUMBER(BC10/BA10),BC10/BA10, " - ")</f>
        <v>0.26666666666666666</v>
      </c>
      <c r="BG10" s="196">
        <f>IF(ISNUMBER((AY10+AZ10)/BA10),(AY10+AZ10)/BA10," - ")</f>
        <v>2.4666666666666668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2898</v>
      </c>
      <c r="J13" s="184">
        <f t="shared" si="6"/>
        <v>3271</v>
      </c>
      <c r="K13" s="184">
        <f t="shared" si="6"/>
        <v>2470</v>
      </c>
      <c r="L13" s="184">
        <f t="shared" si="6"/>
        <v>3704</v>
      </c>
      <c r="M13" s="184">
        <f t="shared" si="6"/>
        <v>531</v>
      </c>
      <c r="N13" s="184">
        <f t="shared" si="6"/>
        <v>1244</v>
      </c>
      <c r="O13" s="184">
        <f t="shared" si="6"/>
        <v>1180</v>
      </c>
      <c r="P13" s="184">
        <f t="shared" si="6"/>
        <v>756</v>
      </c>
      <c r="Q13" s="184">
        <f t="shared" si="6"/>
        <v>1266</v>
      </c>
      <c r="R13" s="184">
        <f t="shared" si="6"/>
        <v>8939</v>
      </c>
      <c r="S13" s="184">
        <f t="shared" si="6"/>
        <v>2766</v>
      </c>
      <c r="T13" s="184">
        <f t="shared" si="6"/>
        <v>2204</v>
      </c>
      <c r="U13" s="184">
        <f t="shared" si="6"/>
        <v>2352</v>
      </c>
      <c r="V13" s="184">
        <f t="shared" si="6"/>
        <v>2618</v>
      </c>
      <c r="W13" s="184">
        <f t="shared" si="6"/>
        <v>530</v>
      </c>
      <c r="X13" s="184">
        <f t="shared" si="6"/>
        <v>1124</v>
      </c>
      <c r="Y13" s="184">
        <f t="shared" si="6"/>
        <v>112</v>
      </c>
      <c r="Z13" s="184">
        <f t="shared" si="6"/>
        <v>199</v>
      </c>
      <c r="AA13" s="184">
        <f t="shared" si="6"/>
        <v>225</v>
      </c>
      <c r="AB13" s="184">
        <f t="shared" si="6"/>
        <v>86</v>
      </c>
      <c r="AC13" s="184">
        <f t="shared" si="6"/>
        <v>0</v>
      </c>
      <c r="AD13" s="184">
        <f t="shared" si="6"/>
        <v>0</v>
      </c>
      <c r="AE13" s="184">
        <f t="shared" si="6"/>
        <v>0</v>
      </c>
      <c r="AF13" s="184">
        <f>SUBTOTAL(9,AF9:AF12)</f>
        <v>0</v>
      </c>
      <c r="AG13" s="184">
        <f t="shared" ref="AG13:AT13" si="7">SUBTOTAL(9,AG8:AG12)</f>
        <v>101</v>
      </c>
      <c r="AH13" s="184">
        <f t="shared" si="7"/>
        <v>226</v>
      </c>
      <c r="AI13" s="184">
        <f t="shared" si="7"/>
        <v>238</v>
      </c>
      <c r="AJ13" s="184">
        <f t="shared" si="7"/>
        <v>89</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2867</v>
      </c>
      <c r="AZ13" s="184">
        <f>SUBTOTAL(9,AZ8:AZ12)</f>
        <v>2430</v>
      </c>
      <c r="BA13" s="184">
        <f>SUBTOTAL(9,BA8:BA12)</f>
        <v>2590</v>
      </c>
      <c r="BB13" s="184">
        <f>SUBTOTAL(9,BB8:BB12)</f>
        <v>2707</v>
      </c>
      <c r="BC13" s="184">
        <f>SUBTOTAL(9,BC8:BC12)</f>
        <v>1120</v>
      </c>
      <c r="BD13" s="205">
        <f>IF(ISNUMBER(BA13/AZ13),BA13/AZ13," - ")</f>
        <v>1.0658436213991769</v>
      </c>
      <c r="BE13" s="206">
        <f>IF(ISNUMBER(BB13/BA13),BB13/BA13, " - ")</f>
        <v>1.0451737451737453</v>
      </c>
      <c r="BF13" s="206">
        <f>IF(ISNUMBER(BC13/BA13),BC13/BA13, " - ")</f>
        <v>0.43243243243243246</v>
      </c>
      <c r="BG13" s="207">
        <f>IF(ISNUMBER((AY13+AZ13)/BA13),(AY13+AZ13)/BA13," - ")</f>
        <v>2.0451737451737451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2349</v>
      </c>
      <c r="J15" s="183">
        <v>2122</v>
      </c>
      <c r="K15" s="183">
        <v>2389</v>
      </c>
      <c r="L15" s="183">
        <v>2082</v>
      </c>
      <c r="M15" s="183">
        <v>354</v>
      </c>
      <c r="N15" s="183">
        <v>1420</v>
      </c>
      <c r="O15" s="181">
        <v>44</v>
      </c>
      <c r="P15" s="183">
        <v>80</v>
      </c>
      <c r="Q15" s="183">
        <v>50</v>
      </c>
      <c r="R15" s="183">
        <v>260</v>
      </c>
      <c r="S15" s="183">
        <v>1912</v>
      </c>
      <c r="T15" s="183">
        <v>1791</v>
      </c>
      <c r="U15" s="183">
        <v>1774</v>
      </c>
      <c r="V15" s="183">
        <v>1953</v>
      </c>
      <c r="W15" s="183">
        <v>302</v>
      </c>
      <c r="X15" s="189">
        <v>1052</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1912</v>
      </c>
      <c r="AZ15" s="129">
        <f t="shared" si="9"/>
        <v>1791</v>
      </c>
      <c r="BA15" s="129">
        <f t="shared" si="9"/>
        <v>1774</v>
      </c>
      <c r="BB15" s="129">
        <f t="shared" si="9"/>
        <v>1953</v>
      </c>
      <c r="BC15" s="125">
        <f>IF(ISNUMBER(W15),W15," - ")</f>
        <v>302</v>
      </c>
      <c r="BD15" s="126">
        <f>IF(ISNUMBER(BA15/AZ15),BA15/AZ15," - ")</f>
        <v>0.9905080960357342</v>
      </c>
      <c r="BE15" s="127">
        <f>IF(ISNUMBER(BB15/BA15),BB15/BA15, " - ")</f>
        <v>1.100901916572717</v>
      </c>
      <c r="BF15" s="127">
        <f>IF(ISNUMBER(BC15/BA15),BC15/BA15, " - ")</f>
        <v>0.17023675310033823</v>
      </c>
      <c r="BG15" s="196">
        <f t="shared" ref="BG15:BG16" si="10">IF(ISNUMBER((AY15+AZ15)/BA15),(AY15+AZ15)/BA15," - ")</f>
        <v>2.0873731679819616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v>
      </c>
      <c r="J16" s="183">
        <v>0</v>
      </c>
      <c r="K16" s="183">
        <v>0</v>
      </c>
      <c r="L16" s="183">
        <v>14</v>
      </c>
      <c r="M16" s="183">
        <v>0</v>
      </c>
      <c r="N16" s="183">
        <v>0</v>
      </c>
      <c r="O16" s="181">
        <v>0</v>
      </c>
      <c r="P16" s="183">
        <v>0</v>
      </c>
      <c r="Q16" s="183">
        <v>0</v>
      </c>
      <c r="R16" s="183">
        <v>6</v>
      </c>
      <c r="S16" s="183">
        <v>16</v>
      </c>
      <c r="T16" s="183">
        <v>0</v>
      </c>
      <c r="U16" s="183">
        <v>0</v>
      </c>
      <c r="V16" s="183">
        <v>16</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16</v>
      </c>
      <c r="AZ16" s="127">
        <f t="shared" si="9"/>
        <v>0</v>
      </c>
      <c r="BA16" s="127">
        <f t="shared" si="9"/>
        <v>0</v>
      </c>
      <c r="BB16" s="127">
        <f t="shared" si="9"/>
        <v>16</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109</v>
      </c>
      <c r="J17" s="183">
        <v>339</v>
      </c>
      <c r="K17" s="183">
        <v>341</v>
      </c>
      <c r="L17" s="183">
        <v>110</v>
      </c>
      <c r="M17" s="183">
        <v>75</v>
      </c>
      <c r="N17" s="183">
        <v>205</v>
      </c>
      <c r="O17" s="183">
        <v>0</v>
      </c>
      <c r="P17" s="183">
        <v>0</v>
      </c>
      <c r="Q17" s="183">
        <v>2</v>
      </c>
      <c r="R17" s="183">
        <v>11</v>
      </c>
      <c r="S17" s="183">
        <v>174</v>
      </c>
      <c r="T17" s="183">
        <v>255</v>
      </c>
      <c r="U17" s="183">
        <v>289</v>
      </c>
      <c r="V17" s="183">
        <v>140</v>
      </c>
      <c r="W17" s="183">
        <v>67</v>
      </c>
      <c r="X17" s="189">
        <v>169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174</v>
      </c>
      <c r="AZ17" s="129">
        <f t="shared" si="14"/>
        <v>255</v>
      </c>
      <c r="BA17" s="129">
        <f t="shared" si="14"/>
        <v>289</v>
      </c>
      <c r="BB17" s="129">
        <f t="shared" si="14"/>
        <v>140</v>
      </c>
      <c r="BC17" s="125">
        <f>IF(ISNUMBER(W17),W17," - ")</f>
        <v>67</v>
      </c>
      <c r="BD17" s="126">
        <f>IF(ISNUMBER(BA17/AZ17),BA17/AZ17," - ")</f>
        <v>1.1333333333333333</v>
      </c>
      <c r="BE17" s="127">
        <f>IF(ISNUMBER(BB17/BA17),BB17/BA17, " - ")</f>
        <v>0.48442906574394462</v>
      </c>
      <c r="BF17" s="127">
        <f>IF(ISNUMBER(BC17/BA17),BC17/BA17, " - ")</f>
        <v>0.23183391003460208</v>
      </c>
      <c r="BG17" s="196">
        <f>IF(ISNUMBER((AY17+AZ17)/BA17),(AY17+AZ17)/BA17," - ")</f>
        <v>1.4844290657439447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2472</v>
      </c>
      <c r="J18" s="184">
        <f t="shared" si="15"/>
        <v>2461</v>
      </c>
      <c r="K18" s="184">
        <f t="shared" si="15"/>
        <v>2730</v>
      </c>
      <c r="L18" s="184">
        <f t="shared" si="15"/>
        <v>2206</v>
      </c>
      <c r="M18" s="184">
        <f t="shared" si="15"/>
        <v>429</v>
      </c>
      <c r="N18" s="184">
        <f t="shared" si="15"/>
        <v>1625</v>
      </c>
      <c r="O18" s="184">
        <f t="shared" si="15"/>
        <v>44</v>
      </c>
      <c r="P18" s="184">
        <f t="shared" si="15"/>
        <v>80</v>
      </c>
      <c r="Q18" s="184">
        <f t="shared" si="15"/>
        <v>52</v>
      </c>
      <c r="R18" s="184">
        <f t="shared" si="15"/>
        <v>277</v>
      </c>
      <c r="S18" s="184">
        <f t="shared" si="15"/>
        <v>2102</v>
      </c>
      <c r="T18" s="184">
        <f t="shared" si="15"/>
        <v>2046</v>
      </c>
      <c r="U18" s="184">
        <f t="shared" si="15"/>
        <v>2063</v>
      </c>
      <c r="V18" s="184">
        <f t="shared" si="15"/>
        <v>2109</v>
      </c>
      <c r="W18" s="184">
        <f t="shared" si="15"/>
        <v>369</v>
      </c>
      <c r="X18" s="184">
        <f t="shared" si="15"/>
        <v>1221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2102</v>
      </c>
      <c r="AZ18" s="184">
        <f>SUBTOTAL(9,AZ14:AZ17)</f>
        <v>2046</v>
      </c>
      <c r="BA18" s="184">
        <f>SUBTOTAL(9,BA14:BA17)</f>
        <v>2063</v>
      </c>
      <c r="BB18" s="184">
        <f>SUBTOTAL(9,BB14:BB17)</f>
        <v>2109</v>
      </c>
      <c r="BC18" s="184">
        <f>SUBTOTAL(9,BC14:BC17)</f>
        <v>369</v>
      </c>
      <c r="BD18" s="205">
        <f>IF(ISNUMBER(BA18/AZ18),BA18/AZ18," - ")</f>
        <v>1.0083088954056696</v>
      </c>
      <c r="BE18" s="206">
        <f>IF(ISNUMBER(BB18/BA18),BB18/BA18, " - ")</f>
        <v>1.0222976248182258</v>
      </c>
      <c r="BF18" s="206">
        <f>IF(ISNUMBER(BC18/BA18),BC18/BA18, " - ")</f>
        <v>0.17886572952011634</v>
      </c>
      <c r="BG18" s="207">
        <f>IF(ISNUMBER((AY18+AZ18)/BA18),(AY18+AZ18)/BA18," - ")</f>
        <v>2.0106640814348036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5370</v>
      </c>
      <c r="J19" s="134">
        <f t="shared" si="18"/>
        <v>5732</v>
      </c>
      <c r="K19" s="134">
        <f t="shared" si="18"/>
        <v>5200</v>
      </c>
      <c r="L19" s="134">
        <f t="shared" si="18"/>
        <v>5910</v>
      </c>
      <c r="M19" s="134">
        <f t="shared" si="18"/>
        <v>960</v>
      </c>
      <c r="N19" s="134">
        <f t="shared" si="18"/>
        <v>2869</v>
      </c>
      <c r="O19" s="134">
        <f t="shared" si="18"/>
        <v>1224</v>
      </c>
      <c r="P19" s="134">
        <f t="shared" si="18"/>
        <v>836</v>
      </c>
      <c r="Q19" s="134">
        <f t="shared" si="18"/>
        <v>1318</v>
      </c>
      <c r="R19" s="134">
        <f t="shared" si="18"/>
        <v>9216</v>
      </c>
      <c r="S19" s="134">
        <f t="shared" si="18"/>
        <v>4868</v>
      </c>
      <c r="T19" s="134">
        <f t="shared" si="18"/>
        <v>4250</v>
      </c>
      <c r="U19" s="134">
        <f t="shared" si="18"/>
        <v>4415</v>
      </c>
      <c r="V19" s="134">
        <f t="shared" si="18"/>
        <v>4727</v>
      </c>
      <c r="W19" s="134">
        <f t="shared" si="18"/>
        <v>899</v>
      </c>
      <c r="X19" s="134">
        <f t="shared" si="18"/>
        <v>2345</v>
      </c>
      <c r="Y19" s="134">
        <f t="shared" si="18"/>
        <v>112</v>
      </c>
      <c r="Z19" s="134">
        <f t="shared" si="18"/>
        <v>199</v>
      </c>
      <c r="AA19" s="134">
        <f t="shared" si="18"/>
        <v>225</v>
      </c>
      <c r="AB19" s="134">
        <f t="shared" si="18"/>
        <v>86</v>
      </c>
      <c r="AC19" s="134">
        <f t="shared" si="18"/>
        <v>0</v>
      </c>
      <c r="AD19" s="134">
        <f t="shared" si="18"/>
        <v>1</v>
      </c>
      <c r="AE19" s="134">
        <f t="shared" si="18"/>
        <v>1</v>
      </c>
      <c r="AF19" s="134">
        <f t="shared" si="18"/>
        <v>0</v>
      </c>
      <c r="AG19" s="134">
        <f t="shared" si="18"/>
        <v>101</v>
      </c>
      <c r="AH19" s="134">
        <f t="shared" si="18"/>
        <v>226</v>
      </c>
      <c r="AI19" s="134">
        <f t="shared" si="18"/>
        <v>238</v>
      </c>
      <c r="AJ19" s="134">
        <f t="shared" si="18"/>
        <v>89</v>
      </c>
      <c r="AK19" s="134">
        <f t="shared" si="18"/>
        <v>0</v>
      </c>
      <c r="AL19" s="134">
        <f t="shared" si="18"/>
        <v>0</v>
      </c>
      <c r="AM19" s="134">
        <f t="shared" si="18"/>
        <v>0</v>
      </c>
      <c r="AN19" s="210">
        <f t="shared" si="18"/>
        <v>0</v>
      </c>
      <c r="AO19" s="211">
        <v>10</v>
      </c>
      <c r="AP19" s="211">
        <v>10</v>
      </c>
      <c r="AQ19" s="211">
        <v>10</v>
      </c>
      <c r="AR19" s="211">
        <v>10</v>
      </c>
      <c r="AS19" s="153">
        <f t="shared" si="18"/>
        <v>0</v>
      </c>
      <c r="AT19" s="153">
        <f t="shared" si="18"/>
        <v>0</v>
      </c>
      <c r="AU19" s="211"/>
      <c r="AV19" s="212"/>
      <c r="AW19" s="211"/>
      <c r="AX19" s="212"/>
      <c r="AY19" s="133">
        <f>SUBTOTAL(9,AY9:AY18)</f>
        <v>4969</v>
      </c>
      <c r="AZ19" s="134">
        <f>SUBTOTAL(9,AZ9:AZ18)</f>
        <v>4476</v>
      </c>
      <c r="BA19" s="134">
        <f>SUBTOTAL(9,BA9:BA18)</f>
        <v>4653</v>
      </c>
      <c r="BB19" s="134">
        <f>SUBTOTAL(9,BB9:BB18)</f>
        <v>4816</v>
      </c>
      <c r="BC19" s="135">
        <f>SUBTOTAL(9,BC9:BC18)</f>
        <v>1489</v>
      </c>
      <c r="BD19" s="213">
        <f>IF(ISNUMBER(BA19/AZ19),BA19/AZ19," - ")</f>
        <v>1.0395442359249329</v>
      </c>
      <c r="BE19" s="210">
        <f>IF(ISNUMBER(BB19/BA19),BB19/BA19, " - ")</f>
        <v>1.0350311626907371</v>
      </c>
      <c r="BF19" s="210">
        <f>IF(ISNUMBER(BC19/BA19),BC19/BA19, " - ")</f>
        <v>0.32000859660434128</v>
      </c>
      <c r="BG19" s="135">
        <f>IF(ISNUMBER((AY19+AZ19)/BA19),(AY19+AZ19)/BA19," - ")</f>
        <v>2.0298732000859658</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QvCiBUwvg9uHjT9CUVN3U3UWIpIUAK4LZekow1YHEXrkD5VqP5gOVGfo/HZ53KNW9UTL84KjhoFOqor/y7fzg==" saltValue="ofg35IctOs1EO0iY57Wv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2AR+KfPIfXK7A4XT9zd3tA03NtxwUrpJcKoDRIi/jscMZ6ipU2XdHKOcGRkANJyjXuPUhXyq+rZ0Njb7t5nbA==" saltValue="AGY07i6yuMHanaxzLa2v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DENIA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199</v>
      </c>
      <c r="O9" s="334"/>
      <c r="P9" s="334"/>
      <c r="Q9" s="226">
        <f>IF(ISNUMBER(Datos!P9),Datos!P9,0)</f>
        <v>745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1262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86</v>
      </c>
      <c r="AI9" s="334" t="str">
        <f>IF(ISNUMBER(Datos!CD9),Datos!CD9,"-")</f>
        <v>-</v>
      </c>
      <c r="AJ9" s="334" t="str">
        <f>IF(ISNUMBER(Datos!EN9),Datos!EN9," - ")</f>
        <v xml:space="preserve"> - </v>
      </c>
      <c r="AK9" s="334"/>
      <c r="AL9" s="479"/>
      <c r="AM9" s="335">
        <f>IF(ISNUMBER(Datos!R9),Datos!R9," - ")</f>
        <v>8891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505</v>
      </c>
      <c r="BD9" s="229">
        <f>IF(ISNUMBER(Datos!N9),Datos!N9," - ")</f>
        <v>1226</v>
      </c>
      <c r="BE9" s="229" t="str">
        <f>IF(ISNUMBER(Datos!BW9),Datos!BW9," - ")</f>
        <v xml:space="preserve"> - </v>
      </c>
      <c r="BF9" s="228" t="str">
        <f>IF(ISNUMBER(Datos!BX9),Datos!BX9," - ")</f>
        <v xml:space="preserve"> - </v>
      </c>
      <c r="BG9" s="243">
        <f>IF(ISNUMBER(IF(J_V="SI",Datos!K9/Datos!J9,(Datos!K9+Datos!AA9)/(Datos!J9+Datos!Z9))),IF(J_V="SI",Datos!K9/Datos!J9,(Datos!K9+Datos!AA9)/(Datos!J9+Datos!Z9))," - ")</f>
        <v>0.77194517351997671</v>
      </c>
      <c r="BH9" s="260">
        <f>IF(ISNUMBER(((IF(J_V="SI",Datos!L9/Datos!K9,(Datos!L9+Datos!AB9)/(Datos!K9+Datos!AA9)))*11)/factor_trimestre),((IF(J_V="SI",Datos!L9/Datos!K9,(Datos!L9+Datos!AB9)/(Datos!K9+Datos!AA9)))*11)/factor_trimestre," - ")</f>
        <v>4.2330940687570831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-5.4953231292517009E-2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62</v>
      </c>
      <c r="G10" s="333">
        <f>IF(ISNUMBER(Datos!I10),Datos!I10," - ")</f>
        <v>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48</v>
      </c>
      <c r="AC10" s="226">
        <f>IF(ISNUMBER(Datos!Q10),Datos!Q10," - ")</f>
        <v>4</v>
      </c>
      <c r="AD10" s="334"/>
      <c r="AE10" s="484"/>
      <c r="AF10" s="332">
        <f>IF(ISNUMBER(Datos!L10),Datos!L10,"-")</f>
        <v>55</v>
      </c>
      <c r="AG10" s="334"/>
      <c r="AH10" s="334"/>
      <c r="AI10" s="334"/>
      <c r="AJ10" s="334"/>
      <c r="AK10" s="334"/>
      <c r="AL10" s="479"/>
      <c r="AM10" s="335">
        <f>IF(ISNUMBER(Datos!R10),Datos!R10," - ")</f>
        <v>48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26</v>
      </c>
      <c r="BD10" s="229">
        <f>IF(ISNUMBER(Datos!N10),Datos!N10," - ")</f>
        <v>18</v>
      </c>
      <c r="BE10" s="229" t="str">
        <f>IF(ISNUMBER(Datos!BW10),Datos!BW10," - ")</f>
        <v xml:space="preserve"> - </v>
      </c>
      <c r="BF10" s="228" t="str">
        <f>IF(ISNUMBER(Datos!BX10),Datos!BX10," - ")</f>
        <v xml:space="preserve"> - </v>
      </c>
      <c r="BG10" s="243">
        <f>IF(ISNUMBER(Datos!K10/Datos!J10),Datos!K10/Datos!J10," - ")</f>
        <v>1.1707317073170731</v>
      </c>
      <c r="BH10" s="260">
        <f>IF(ISNUMBER(((Datos!L10/Datos!K10)*11)/factor_trimestre),((Datos!L10/Datos!K10)*11)/factor_trimestre," - ")</f>
        <v>3.4375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0.17073170731707318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62</v>
      </c>
      <c r="G13" s="898">
        <f t="shared" si="0"/>
        <v>62</v>
      </c>
      <c r="H13" s="899">
        <f t="shared" si="0"/>
        <v>0</v>
      </c>
      <c r="I13" s="898">
        <f t="shared" si="0"/>
        <v>0</v>
      </c>
      <c r="J13" s="867">
        <f t="shared" si="0"/>
        <v>0</v>
      </c>
      <c r="K13" s="867">
        <f t="shared" si="0"/>
        <v>0</v>
      </c>
      <c r="L13" s="899">
        <f t="shared" si="0"/>
        <v>0</v>
      </c>
      <c r="M13" s="899">
        <f t="shared" si="0"/>
        <v>0</v>
      </c>
      <c r="N13" s="899">
        <f t="shared" si="0"/>
        <v>199</v>
      </c>
      <c r="O13" s="900">
        <f t="shared" si="0"/>
        <v>0</v>
      </c>
      <c r="P13" s="900">
        <f t="shared" si="0"/>
        <v>0</v>
      </c>
      <c r="Q13" s="899">
        <f t="shared" si="0"/>
        <v>756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48</v>
      </c>
      <c r="AC13" s="899">
        <f t="shared" si="1"/>
        <v>1266</v>
      </c>
      <c r="AD13" s="899">
        <f t="shared" si="1"/>
        <v>0</v>
      </c>
      <c r="AE13" s="899">
        <f t="shared" si="1"/>
        <v>0</v>
      </c>
      <c r="AF13" s="899">
        <f t="shared" si="1"/>
        <v>55</v>
      </c>
      <c r="AG13" s="899">
        <f t="shared" si="1"/>
        <v>0</v>
      </c>
      <c r="AH13" s="899">
        <f t="shared" si="1"/>
        <v>86</v>
      </c>
      <c r="AI13" s="899">
        <f t="shared" si="1"/>
        <v>0</v>
      </c>
      <c r="AJ13" s="899">
        <f t="shared" si="1"/>
        <v>0</v>
      </c>
      <c r="AK13" s="899">
        <f t="shared" si="1"/>
        <v>0</v>
      </c>
      <c r="AL13" s="899">
        <f t="shared" si="1"/>
        <v>0</v>
      </c>
      <c r="AM13" s="899">
        <f t="shared" si="1"/>
        <v>8939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531</v>
      </c>
      <c r="BD13" s="899">
        <f t="shared" si="1"/>
        <v>1244</v>
      </c>
      <c r="BE13" s="899">
        <f t="shared" si="1"/>
        <v>0</v>
      </c>
      <c r="BF13" s="899">
        <f t="shared" si="1"/>
        <v>0</v>
      </c>
      <c r="BG13" s="899">
        <f>IF(ISNUMBER(Datos!K13/Datos!J13),Datos!K13/Datos!J13," - ")</f>
        <v>0.75512075817792723</v>
      </c>
      <c r="BH13" s="903">
        <f>IF(ISNUMBER(((Datos!L13/Datos!K13)*11)/factor_trimestre),((Datos!L13/Datos!K13)*11)/factor_trimestre," - ")</f>
        <v>4.4987854251012136</v>
      </c>
      <c r="BI13" s="899">
        <f>IF(ISNUMBER('Resol  Asuntos'!D13/NºAsuntos!G13),'Resol  Asuntos'!D13/NºAsuntos!G13," - ")</f>
        <v>0.19703153988868274</v>
      </c>
      <c r="BJ13" s="899" t="str">
        <f>IF(ISNUMBER(Datos!CI13/Datos!CJ13),Datos!CI13/Datos!CJ13," - ")</f>
        <v xml:space="preserve"> - </v>
      </c>
      <c r="BK13" s="899">
        <f>SUBTOTAL(9,BK8:BK12)</f>
        <v>0</v>
      </c>
      <c r="BL13" s="899">
        <f>IF(ISNUMBER((I13-AB13+L13)/(F13)),(I13-AB13+L13)/(F13)," - ")</f>
        <v>-0.77419354838709675</v>
      </c>
      <c r="BM13" s="904">
        <f>SUBTOTAL(9,BM9:BM12)</f>
        <v>0.11577847602455618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2349</v>
      </c>
      <c r="G15" s="598">
        <f>IF(ISNUMBER(IF(D_I="SI",Datos!I15,Datos!I15+Datos!AC15)),IF(D_I="SI",Datos!I15,Datos!I15+Datos!AC15)," - ")</f>
        <v>2349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2389</v>
      </c>
      <c r="AC15" s="226">
        <f>IF(ISNUMBER(Datos!Q15),Datos!Q15," - ")</f>
        <v>50</v>
      </c>
      <c r="AD15" s="334"/>
      <c r="AE15" s="484"/>
      <c r="AF15" s="596">
        <f>IF(ISNUMBER(IF(D_I="SI",Datos!L15,Datos!L15+Datos!AF15)),IF(D_I="SI",Datos!L15,Datos!L15+Datos!AF15)," - ")</f>
        <v>2082</v>
      </c>
      <c r="AG15" s="334"/>
      <c r="AH15" s="334"/>
      <c r="AI15" s="334"/>
      <c r="AJ15" s="334"/>
      <c r="AK15" s="334"/>
      <c r="AL15" s="479"/>
      <c r="AM15" s="335">
        <f>IF(ISNUMBER(Datos!R15),Datos!R15," - ")</f>
        <v>260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354</v>
      </c>
      <c r="BD15" s="229">
        <f>IF(ISNUMBER(Datos!N15),Datos!N15," - ")</f>
        <v>1420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1.1258246936852025</v>
      </c>
      <c r="BH15" s="260">
        <f>IF(ISNUMBER(((IF(D_I="SI",Datos!L15/Datos!K15,(Datos!L15+Datos!AF15)/(Datos!K15+Datos!AE15)))*11)/factor_trimestre),((IF(D_I="SI",Datos!L15/Datos!K15,(Datos!L15+Datos!AF15)/(Datos!K15+Datos!AE15)))*11)/factor_trimestre," - ")</f>
        <v>2.6144830473001255</v>
      </c>
      <c r="BI15" s="243">
        <f>IF(ISNUMBER('Resol  Asuntos'!D15/NºAsuntos!G15),'Resol  Asuntos'!D15/NºAsuntos!G15," - ")</f>
        <v>0.1481791544579322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14</v>
      </c>
      <c r="G16" s="598">
        <f>IF(ISNUMBER(IF(D_I="SI",Datos!I16,Datos!I16+Datos!AC16)),IF(D_I="SI",Datos!I16,Datos!I16+Datos!AC16)," - ")</f>
        <v>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14</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109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341</v>
      </c>
      <c r="AC17" s="226">
        <f>IF(ISNUMBER(Datos!Q17),Datos!Q17," - ")</f>
        <v>2</v>
      </c>
      <c r="AD17" s="334"/>
      <c r="AE17" s="484"/>
      <c r="AF17" s="332">
        <f>IF(ISNUMBER(Datos!L17),Datos!L17,"-")</f>
        <v>110</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75</v>
      </c>
      <c r="BD17" s="229">
        <f>IF(ISNUMBER(Datos!N17),Datos!N17," - ")</f>
        <v>205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1.0058997050147493</v>
      </c>
      <c r="BH17" s="260">
        <f>IF(ISNUMBER(((IF(D_I="SI",Datos!L17/Datos!K17,(Datos!L17+Datos!AF17)/(Datos!K17+Datos!AE17)))*11)/factor_trimestre),((IF(D_I="SI",Datos!L17/Datos!K17,(Datos!L17+Datos!AF17)/(Datos!K17+Datos!AE17)))*11)/factor_trimestre," - ")</f>
        <v>0.967741935483871</v>
      </c>
      <c r="BI17" s="243">
        <f>IF(ISNUMBER('Resol  Asuntos'!D17/NºAsuntos!G17),'Resol  Asuntos'!D17/NºAsuntos!G17," - ")</f>
        <v>0.21994134897360704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2363</v>
      </c>
      <c r="G18" s="898">
        <f>SUBTOTAL(9,G15:G17)</f>
        <v>2472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2730</v>
      </c>
      <c r="AC18" s="899">
        <f t="shared" si="4"/>
        <v>52</v>
      </c>
      <c r="AD18" s="899">
        <f t="shared" si="4"/>
        <v>0</v>
      </c>
      <c r="AE18" s="899">
        <f t="shared" si="4"/>
        <v>0</v>
      </c>
      <c r="AF18" s="899">
        <f t="shared" si="4"/>
        <v>2206</v>
      </c>
      <c r="AG18" s="899">
        <f t="shared" si="4"/>
        <v>0</v>
      </c>
      <c r="AH18" s="899">
        <f t="shared" si="4"/>
        <v>0</v>
      </c>
      <c r="AI18" s="899">
        <f t="shared" si="4"/>
        <v>0</v>
      </c>
      <c r="AJ18" s="899">
        <f t="shared" si="4"/>
        <v>0</v>
      </c>
      <c r="AK18" s="899">
        <f t="shared" si="4"/>
        <v>0</v>
      </c>
      <c r="AL18" s="899">
        <f t="shared" si="4"/>
        <v>0</v>
      </c>
      <c r="AM18" s="899">
        <f t="shared" si="4"/>
        <v>277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429</v>
      </c>
      <c r="BD18" s="899">
        <f t="shared" si="4"/>
        <v>1625</v>
      </c>
      <c r="BE18" s="899">
        <f t="shared" si="4"/>
        <v>0</v>
      </c>
      <c r="BF18" s="899">
        <f t="shared" si="4"/>
        <v>0</v>
      </c>
      <c r="BG18" s="899">
        <f>IF(ISNUMBER(Datos!K18/Datos!J18),Datos!K18/Datos!J18," - ")</f>
        <v>1.1093051605038602</v>
      </c>
      <c r="BH18" s="903">
        <f>IF(ISNUMBER(((Datos!L18/Datos!K18)*11)/factor_trimestre),((Datos!L18/Datos!K18)*11)/factor_trimestre," - ")</f>
        <v>2.4241758241758244</v>
      </c>
      <c r="BI18" s="899">
        <f>SUBTOTAL(9,BI15:BI17)</f>
        <v>0.36812050343153924</v>
      </c>
      <c r="BJ18" s="899">
        <f>SUBTOTAL(9,BJ15:BJ17)</f>
        <v>0</v>
      </c>
      <c r="BK18" s="899">
        <f>SUBTOTAL(9,BK15:BK17)</f>
        <v>0</v>
      </c>
      <c r="BL18" s="899">
        <f>IF(ISNUMBER((I18-AB18+L18)/(F18)),(I18-AB18+L18)/(F18)," - ")</f>
        <v>-1.1553110452814219</v>
      </c>
      <c r="BM18" s="905">
        <f>IF(ISNUMBER((Datos!P18-Datos!Q18)/(Datos!R18-Datos!P18+Datos!Q18)),(Datos!P18-Datos!Q18)/(Datos!R18-Datos!P18+Datos!Q18)," - ")</f>
        <v>0.11244979919678715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2425</v>
      </c>
      <c r="G19" s="820">
        <f t="shared" si="6"/>
        <v>2534</v>
      </c>
      <c r="H19" s="822">
        <f t="shared" si="6"/>
        <v>0</v>
      </c>
      <c r="I19" s="820">
        <f t="shared" si="6"/>
        <v>0</v>
      </c>
      <c r="J19" s="822">
        <f t="shared" si="6"/>
        <v>0</v>
      </c>
      <c r="K19" s="822">
        <f t="shared" si="6"/>
        <v>0</v>
      </c>
      <c r="L19" s="881">
        <f t="shared" si="6"/>
        <v>0</v>
      </c>
      <c r="M19" s="881">
        <f t="shared" si="6"/>
        <v>0</v>
      </c>
      <c r="N19" s="881">
        <f t="shared" si="6"/>
        <v>199</v>
      </c>
      <c r="O19" s="881">
        <f t="shared" si="6"/>
        <v>0</v>
      </c>
      <c r="P19" s="881">
        <f t="shared" si="6"/>
        <v>0</v>
      </c>
      <c r="Q19" s="822">
        <f t="shared" si="6"/>
        <v>836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2778</v>
      </c>
      <c r="AC19" s="821">
        <f t="shared" si="7"/>
        <v>1318</v>
      </c>
      <c r="AD19" s="821">
        <f t="shared" si="7"/>
        <v>0</v>
      </c>
      <c r="AE19" s="821">
        <f t="shared" si="7"/>
        <v>0</v>
      </c>
      <c r="AF19" s="828">
        <f t="shared" si="7"/>
        <v>2261</v>
      </c>
      <c r="AG19" s="828">
        <f t="shared" si="7"/>
        <v>0</v>
      </c>
      <c r="AH19" s="828">
        <f t="shared" si="7"/>
        <v>86</v>
      </c>
      <c r="AI19" s="828">
        <f t="shared" si="7"/>
        <v>0</v>
      </c>
      <c r="AJ19" s="821">
        <f t="shared" si="7"/>
        <v>0</v>
      </c>
      <c r="AK19" s="828">
        <f t="shared" si="7"/>
        <v>0</v>
      </c>
      <c r="AL19" s="828">
        <f t="shared" si="7"/>
        <v>0</v>
      </c>
      <c r="AM19" s="828">
        <f t="shared" si="7"/>
        <v>9216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960</v>
      </c>
      <c r="BD19" s="820">
        <f t="shared" si="7"/>
        <v>2869</v>
      </c>
      <c r="BE19" s="820">
        <f t="shared" si="7"/>
        <v>0</v>
      </c>
      <c r="BF19" s="830">
        <f t="shared" si="7"/>
        <v>0</v>
      </c>
      <c r="BG19" s="915">
        <f>IF(ISNUMBER(Datos!K19/Datos!J19),Datos!K19/Datos!J19," - ")</f>
        <v>0.90718771807397069</v>
      </c>
      <c r="BH19" s="915">
        <f>IF(ISNUMBER(((Datos!L19/Datos!K19)*11)/factor_trimestre),((Datos!L19/Datos!K19)*11)/factor_trimestre," - ")</f>
        <v>3.4096153846153849</v>
      </c>
      <c r="BI19" s="813">
        <f>IF(ISNUMBER(Datos!J19/Datos!I19),Datos!J19/Datos!I19," - ")</f>
        <v>1.0674115456238362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-1.1455670103092783</v>
      </c>
      <c r="BM19" s="889">
        <f>IF(ISNUMBER((Datos!P19-Datos!Q19+R19)/(Datos!R19-Datos!P19+Datos!Q19-R19)),(Datos!P19-Datos!Q19+R19)/(Datos!R19-Datos!P19+Datos!Q19-R19)," - ")</f>
        <v>-4.9700969272014846E-2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844.66666666666663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1265.4005294767344</v>
      </c>
      <c r="G21" s="552">
        <f>IF(ISNUMBER(STDEV(G8:G18)),STDEV(G8:G18),"-")</f>
        <v>1213.8846183499759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1275.637409297799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233.10063226406049</v>
      </c>
      <c r="BD21" s="551"/>
      <c r="BE21" s="551">
        <f>IF(ISNUMBER(STDEV(BE8:BE18)),STDEV(BE8:BE18),"-")</f>
        <v>0</v>
      </c>
      <c r="BF21" s="556">
        <f>IF(ISNUMBER(STDEV(BF8:BF18)),STDEV(BF8:BF18),"-")</f>
        <v>0</v>
      </c>
      <c r="BG21" s="775">
        <f>IF(ISNUMBER(STDEV(BG8:BG18)),STDEV(BG8:BG18),"-")</f>
        <v>0.18347466077525451</v>
      </c>
      <c r="BH21" s="776">
        <f>IF(ISNUMBER(STDEV(BH8:BH18)),STDEV(BH8:BH18),"-")</f>
        <v>1.3086943753436502</v>
      </c>
      <c r="BI21" s="249">
        <f>IF(ISNUMBER(STDEV(BI8:BI18)),STDEV(BI8:BI18),"-")</f>
        <v>9.4720606578265421E-2</v>
      </c>
      <c r="BJ21" s="230" t="str">
        <f>IF(ISNUMBER(BL21/BM21),BL21/BM21," - ")</f>
        <v xml:space="preserve"> - </v>
      </c>
      <c r="BK21" s="575"/>
      <c r="BL21" s="559">
        <f>IF(ISNUMBER(STDEV(BL8:BL18)),STDEV(BL8:BL18),"-")</f>
        <v>0.2694907664828205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mYObcMTW3bCjWNZsolC9doc9QfxFVkLFQuBTdxiIKW3YCxlDNWAfsENWWmgLeGiijokalKKZgsQRzEB7gwSLg==" saltValue="mMbMphR307yydcF6q2vz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DENIA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745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1262</v>
      </c>
      <c r="AA9" s="332" t="str">
        <f>IF(ISNUMBER(IF(J_V="SI",Datos!L9,Datos!L9+Datos!AB9)-IF(Monitorios="SI",Datos!CD9,0)),
                          IF(J_V="SI",Datos!L9,Datos!L9+Datos!AB9)-IF(Monitorios="SI",Datos!CD9,0),
                          " - ")</f>
        <v xml:space="preserve"> - </v>
      </c>
      <c r="AB9" s="334"/>
      <c r="AC9" s="334"/>
      <c r="AD9" s="484"/>
      <c r="AE9" s="484">
        <f>IF(ISNUMBER(Datos!R9),Datos!R9," - ")</f>
        <v>8891</v>
      </c>
      <c r="AF9" s="229" t="str">
        <f>IF(ISNUMBER(Datos!BV9),Datos!BV9," - ")</f>
        <v xml:space="preserve"> - </v>
      </c>
      <c r="AG9" s="225" t="str">
        <f>IF(ISNUMBER(Datos!DV9),Datos!DV9," - ")</f>
        <v xml:space="preserve"> - </v>
      </c>
      <c r="AH9" s="298"/>
      <c r="AI9" s="227"/>
      <c r="AJ9" s="225">
        <f>IF(ISNUMBER(Datos!M9),Datos!M9," - ")</f>
        <v>505</v>
      </c>
      <c r="AK9" s="229">
        <f>IF(ISNUMBER(Datos!N9),Datos!N9," - ")</f>
        <v>1226</v>
      </c>
      <c r="AL9" s="229" t="str">
        <f>IF(ISNUMBER(Datos!BW9),Datos!BW9," - ")</f>
        <v xml:space="preserve"> - </v>
      </c>
      <c r="AM9" s="228" t="str">
        <f>IF(ISNUMBER(Datos!BX9),Datos!BX9," - ")</f>
        <v xml:space="preserve"> - </v>
      </c>
      <c r="AN9" s="243"/>
      <c r="AO9" s="260">
        <f>IF(ISNUMBER(((NºAsuntos!I9/NºAsuntos!G9)*11)/factor_trimestre),((NºAsuntos!I9/NºAsuntos!G9)*11)/factor_trimestre," - ")</f>
        <v>4.2330940687570831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-5.4953231292517009E-2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62</v>
      </c>
      <c r="G10" s="225">
        <f>IF(ISNUMBER(Datos!I10),Datos!I10," - ")</f>
        <v>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48</v>
      </c>
      <c r="Z10" s="619">
        <f>IF(ISNUMBER(Datos!Q10),Datos!Q10," - ")</f>
        <v>4</v>
      </c>
      <c r="AA10" s="332">
        <f>IF(ISNUMBER(Datos!L10),Datos!L10,"-")</f>
        <v>55</v>
      </c>
      <c r="AB10" s="334"/>
      <c r="AC10" s="334"/>
      <c r="AD10" s="484"/>
      <c r="AE10" s="484">
        <f>IF(ISNUMBER(Datos!R10),Datos!R10," - ")</f>
        <v>48</v>
      </c>
      <c r="AF10" s="229" t="str">
        <f>IF(ISNUMBER(Datos!BV10),Datos!BV10," - ")</f>
        <v xml:space="preserve"> - </v>
      </c>
      <c r="AG10" s="225" t="str">
        <f>IF(ISNUMBER(Datos!DV10),Datos!DV10," - ")</f>
        <v xml:space="preserve"> - </v>
      </c>
      <c r="AH10" s="298"/>
      <c r="AI10" s="227"/>
      <c r="AJ10" s="225">
        <f>IF(ISNUMBER(Datos!M10),Datos!M10," - ")</f>
        <v>26</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0.17073170731707318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62</v>
      </c>
      <c r="G13" s="898">
        <f>SUBTOTAL(9,G8:G12)</f>
        <v>62</v>
      </c>
      <c r="H13" s="908"/>
      <c r="I13" s="898">
        <f t="shared" ref="I13:N13" si="0">SUBTOTAL(9,I8:I12)</f>
        <v>0</v>
      </c>
      <c r="J13" s="867">
        <f t="shared" si="0"/>
        <v>0</v>
      </c>
      <c r="K13" s="908">
        <f t="shared" si="0"/>
        <v>0</v>
      </c>
      <c r="L13" s="908">
        <f t="shared" si="0"/>
        <v>0</v>
      </c>
      <c r="M13" s="908">
        <f t="shared" si="0"/>
        <v>0</v>
      </c>
      <c r="N13" s="908">
        <f t="shared" si="0"/>
        <v>756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48</v>
      </c>
      <c r="Z13" s="907">
        <f t="shared" si="2"/>
        <v>1266</v>
      </c>
      <c r="AA13" s="900">
        <f t="shared" si="2"/>
        <v>55</v>
      </c>
      <c r="AB13" s="900">
        <f t="shared" si="2"/>
        <v>0</v>
      </c>
      <c r="AC13" s="900">
        <f t="shared" si="2"/>
        <v>0</v>
      </c>
      <c r="AD13" s="900">
        <f t="shared" si="2"/>
        <v>0</v>
      </c>
      <c r="AE13" s="900">
        <f t="shared" si="2"/>
        <v>8939</v>
      </c>
      <c r="AF13" s="908">
        <f t="shared" si="2"/>
        <v>0</v>
      </c>
      <c r="AG13" s="908">
        <f t="shared" si="2"/>
        <v>0</v>
      </c>
      <c r="AH13" s="908">
        <f t="shared" si="2"/>
        <v>0</v>
      </c>
      <c r="AI13" s="908">
        <f t="shared" si="2"/>
        <v>0</v>
      </c>
      <c r="AJ13" s="908">
        <f t="shared" si="2"/>
        <v>531</v>
      </c>
      <c r="AK13" s="908">
        <f t="shared" si="2"/>
        <v>1244</v>
      </c>
      <c r="AL13" s="908">
        <f t="shared" si="2"/>
        <v>0</v>
      </c>
      <c r="AM13" s="908">
        <f t="shared" si="2"/>
        <v>0</v>
      </c>
      <c r="AN13" s="908">
        <f t="shared" si="2"/>
        <v>0</v>
      </c>
      <c r="AO13" s="904">
        <f>IF(ISNUMBER(((NºAsuntos!I13/NºAsuntos!G13)*11)/factor_trimestre),((NºAsuntos!I13/NºAsuntos!G13)*11)/factor_trimestre," - ")</f>
        <v>4.2189239332096484</v>
      </c>
      <c r="AP13" s="910" t="str">
        <f>IF(ISNUMBER(Datos!CI13/Datos!CJ13),Datos!CI13/Datos!CJ13," - ")</f>
        <v xml:space="preserve"> - </v>
      </c>
      <c r="AQ13" s="928">
        <f t="shared" ref="AQ13:AV13" si="3">SUBTOTAL(9,AQ9:AQ12)</f>
        <v>0</v>
      </c>
      <c r="AR13" s="928">
        <f t="shared" si="3"/>
        <v>0.11577847602455618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2349</v>
      </c>
      <c r="G15" s="225">
        <f>IF(ISNUMBER(IF(D_I="SI",Datos!I15,Datos!I15+Datos!AC15)),IF(D_I="SI",Datos!I15,Datos!I15+Datos!AC15)," - ")</f>
        <v>2349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2389</v>
      </c>
      <c r="Z15" s="619">
        <f>IF(ISNUMBER(Datos!Q15),Datos!Q15," - ")</f>
        <v>50</v>
      </c>
      <c r="AA15" s="332">
        <f>IF(ISNUMBER(IF(D_I="SI",Datos!L15,Datos!L15+Datos!AF15)),IF(D_I="SI",Datos!L15,Datos!L15+Datos!AF15)," - ")</f>
        <v>2082</v>
      </c>
      <c r="AB15" s="334"/>
      <c r="AC15" s="334"/>
      <c r="AD15" s="484"/>
      <c r="AE15" s="484">
        <f>IF(ISNUMBER(Datos!R15),Datos!R15," - ")</f>
        <v>260</v>
      </c>
      <c r="AF15" s="229" t="str">
        <f>IF(ISNUMBER(Datos!BV15),Datos!BV15," - ")</f>
        <v xml:space="preserve"> - </v>
      </c>
      <c r="AG15" s="225"/>
      <c r="AH15" s="298"/>
      <c r="AI15" s="227"/>
      <c r="AJ15" s="225">
        <f>IF(ISNUMBER(Datos!M15),Datos!M15," - ")</f>
        <v>354</v>
      </c>
      <c r="AK15" s="229">
        <f>IF(ISNUMBER(Datos!N15),Datos!N15," - ")</f>
        <v>1420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2.6144830473001255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14</v>
      </c>
      <c r="G16" s="225">
        <f>IF(ISNUMBER(IF(D_I="SI",Datos!I16,Datos!I16+Datos!AC16)),IF(D_I="SI",Datos!I16,Datos!I16+Datos!AC16)," - ")</f>
        <v>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14</v>
      </c>
      <c r="AB16" s="334"/>
      <c r="AC16" s="334"/>
      <c r="AD16" s="484"/>
      <c r="AE16" s="484">
        <f>IF(ISNUMBER(Datos!R16),Datos!R16," - ")</f>
        <v>6</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109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341</v>
      </c>
      <c r="Z17" s="619">
        <f>IF(ISNUMBER(Datos!Q17),Datos!Q17," - ")</f>
        <v>2</v>
      </c>
      <c r="AA17" s="332">
        <f>IF(ISNUMBER(Datos!L17),Datos!L17,"-")</f>
        <v>110</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75</v>
      </c>
      <c r="AK17" s="229">
        <f>IF(ISNUMBER(Datos!N17),Datos!N17," - ")</f>
        <v>205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0.967741935483871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2363</v>
      </c>
      <c r="G18" s="898">
        <f>SUBTOTAL(9,G15:G17)</f>
        <v>2472</v>
      </c>
      <c r="H18" s="932">
        <f>SUBTOTAL(9,H15:H17)</f>
        <v>0</v>
      </c>
      <c r="I18" s="911">
        <f>SUBTOTAL(9,I15:I17)</f>
        <v>0</v>
      </c>
      <c r="J18" s="867">
        <f>SUBTOTAL(9,J14:J17)</f>
        <v>0</v>
      </c>
      <c r="K18" s="932">
        <f t="shared" ref="K18:S18" si="4">SUBTOTAL(9,K15:K17)</f>
        <v>0</v>
      </c>
      <c r="L18" s="932">
        <f t="shared" si="4"/>
        <v>0</v>
      </c>
      <c r="M18" s="932">
        <f t="shared" si="4"/>
        <v>0</v>
      </c>
      <c r="N18" s="932">
        <f t="shared" si="4"/>
        <v>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2730</v>
      </c>
      <c r="Z18" s="932">
        <f t="shared" si="5"/>
        <v>52</v>
      </c>
      <c r="AA18" s="932">
        <f t="shared" si="5"/>
        <v>2206</v>
      </c>
      <c r="AB18" s="932">
        <f t="shared" si="5"/>
        <v>0</v>
      </c>
      <c r="AC18" s="932">
        <f t="shared" si="5"/>
        <v>0</v>
      </c>
      <c r="AD18" s="932">
        <f t="shared" si="5"/>
        <v>0</v>
      </c>
      <c r="AE18" s="932">
        <f t="shared" si="5"/>
        <v>277</v>
      </c>
      <c r="AF18" s="932">
        <f t="shared" si="5"/>
        <v>0</v>
      </c>
      <c r="AG18" s="932">
        <f t="shared" si="5"/>
        <v>0</v>
      </c>
      <c r="AH18" s="932">
        <f t="shared" si="5"/>
        <v>0</v>
      </c>
      <c r="AI18" s="932">
        <f t="shared" si="5"/>
        <v>0</v>
      </c>
      <c r="AJ18" s="932">
        <f t="shared" si="5"/>
        <v>429</v>
      </c>
      <c r="AK18" s="932">
        <f t="shared" si="5"/>
        <v>1625</v>
      </c>
      <c r="AL18" s="932">
        <f t="shared" si="5"/>
        <v>0</v>
      </c>
      <c r="AM18" s="932">
        <f t="shared" si="5"/>
        <v>0</v>
      </c>
      <c r="AN18" s="932">
        <f t="shared" si="5"/>
        <v>0</v>
      </c>
      <c r="AO18" s="934">
        <f>IF(ISNUMBER(((NºAsuntos!I18/NºAsuntos!G18)*11)/factor_trimestre),((NºAsuntos!I18/NºAsuntos!G18)*11)/factor_trimestre," - ")</f>
        <v>2.4241758241758244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2425</v>
      </c>
      <c r="G19" s="820">
        <f t="shared" si="7"/>
        <v>2534</v>
      </c>
      <c r="H19" s="821">
        <f t="shared" si="7"/>
        <v>0</v>
      </c>
      <c r="I19" s="820">
        <f t="shared" si="7"/>
        <v>0</v>
      </c>
      <c r="J19" s="822">
        <f t="shared" si="7"/>
        <v>0</v>
      </c>
      <c r="K19" s="820">
        <f t="shared" si="7"/>
        <v>0</v>
      </c>
      <c r="L19" s="823">
        <f t="shared" si="7"/>
        <v>0</v>
      </c>
      <c r="M19" s="820">
        <f t="shared" si="7"/>
        <v>0</v>
      </c>
      <c r="N19" s="821">
        <f t="shared" si="7"/>
        <v>836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2778</v>
      </c>
      <c r="Z19" s="827">
        <f t="shared" si="8"/>
        <v>1318</v>
      </c>
      <c r="AA19" s="828">
        <f t="shared" si="8"/>
        <v>2261</v>
      </c>
      <c r="AB19" s="828">
        <f t="shared" si="8"/>
        <v>0</v>
      </c>
      <c r="AC19" s="828">
        <f t="shared" si="8"/>
        <v>0</v>
      </c>
      <c r="AD19" s="829">
        <f t="shared" si="8"/>
        <v>0</v>
      </c>
      <c r="AE19" s="829">
        <f t="shared" si="8"/>
        <v>9216</v>
      </c>
      <c r="AF19" s="830">
        <f t="shared" si="8"/>
        <v>0</v>
      </c>
      <c r="AG19" s="831">
        <f t="shared" si="8"/>
        <v>0</v>
      </c>
      <c r="AH19" s="832">
        <f t="shared" si="8"/>
        <v>0</v>
      </c>
      <c r="AI19" s="830">
        <f t="shared" si="8"/>
        <v>0</v>
      </c>
      <c r="AJ19" s="820">
        <f t="shared" si="8"/>
        <v>960</v>
      </c>
      <c r="AK19" s="820">
        <f t="shared" si="8"/>
        <v>2869</v>
      </c>
      <c r="AL19" s="820">
        <f t="shared" si="8"/>
        <v>0</v>
      </c>
      <c r="AM19" s="833">
        <f t="shared" si="8"/>
        <v>0</v>
      </c>
      <c r="AN19" s="823">
        <f>IF(ISNUMBER(Datos!K19/Datos!J19),Datos!K19/Datos!J19," - ")</f>
        <v>0.90718771807397069</v>
      </c>
      <c r="AO19" s="823">
        <f>IF(ISNUMBER(FIND("06",Criterios!A8,1)),(IF(ISNUMBER(((Datos!R19/Datos!Q19)*11)/factor_trimestre),((Datos!R19/Datos!Q19)*11)/factor_trimestre," - ")),(IF(ISNUMBER(((Datos!L19/Datos!K19)*11)/factor_trimestre),((Datos!L19/Datos!K19)*11)/factor_trimestre," - ")))</f>
        <v>3.4096153846153849</v>
      </c>
      <c r="AP19" s="834" t="str">
        <f>IF(ISNUMBER(Datos!CI19/Datos!CJ19),Datos!CI19/Datos!CJ19," - ")</f>
        <v xml:space="preserve"> - </v>
      </c>
      <c r="AQ19" s="834">
        <f>IF(OR(ISNUMBER(FIND("01",Criterios!A8,1)),ISNUMBER(FIND("02",Criterios!A8,1)),ISNUMBER(FIND("03",Criterios!A8,1)),ISNUMBER(FIND("04",Criterios!A8,1))),(J19-Y19+K19)/(F19-K19),(I19-Y19+K19)/(F19-K19))</f>
        <v>-1.1455670103092783</v>
      </c>
      <c r="AR19" s="834">
        <f>IF(ISNUMBER((Datos!P19-Datos!Q19+O19)/(Datos!R19-Datos!P19+Datos!Q19-O19)),(Datos!P19-Datos!Q19+O19)/(Datos!R19-Datos!P19+Datos!Q19-O19)," - ")</f>
        <v>-4.9700969272014846E-2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844.66666666666663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1265.4005294767344</v>
      </c>
      <c r="G21" s="552">
        <f>IF(ISNUMBER(STDEV(G8:G18)),STDEV(G8:G18),"-")</f>
        <v>1213.8846183499759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233.10063226406049</v>
      </c>
      <c r="AK21" s="252"/>
      <c r="AL21" s="252">
        <f>IF(ISNUMBER(STDEV(AL8:AL18)),STDEV(AL8:AL18),"-")</f>
        <v>0</v>
      </c>
      <c r="AM21" s="254">
        <f>IF(ISNUMBER(STDEV(AM8:AM18)),STDEV(AM8:AM18),"-")</f>
        <v>0</v>
      </c>
      <c r="AN21" s="539">
        <f>IF(ISNUMBER(STDEV(AN8:AN18)),STDEV(AN8:AN18),"-")</f>
        <v>0</v>
      </c>
      <c r="AO21" s="540">
        <f>IF(ISNUMBER(STDEV(AO8:AO18)),STDEV(AO8:AO18),"-")</f>
        <v>1.2494932531261935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QEFG0J74GoJWqviO+0Ai+TAFzdVgyDica1A+HTrw7PaWhBBOkc0dMV1stN4wLRYOKna3tCENZ+P3JuvQ3apvA==" saltValue="9skbWBCTzycuy5EhpfrH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wJa0vURjW2ZwPmK+EPK0RuPZP30RtNPUjtCwz+FDJrE6P3/VShrkO7levWY49Wenwc3qUfpAiAyMOjTQkO/CQ==" saltValue="CJuvINjQGNdgx3SeCm8m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vCxjyTZGMtf6wmo262HDD9jTcFW+wuawTI8fD+4OT3inSlM8LNSxk6otxL4/91m0vbfk0WH57qHRfGqVl+lA==" saltValue="KQOCloMiAQks0ixUaaOD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DENIA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0.19703153988868274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0.13932233796291529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dIPyvRbtiEl6s4ib7sQeVOZxSzLfJfxZrltePGSeEHDSR4u/q6tT5RsniOKi8z7GPwBr3OkmuyEDkr8hDnCdw==" saltValue="kfhnbYD3Z1F4CQaO/Pxq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pfB2Zd27qZrKCdT3u5M+uM7Aa19y2C4406s8XKW3XIuBXu3q3y2zAdW2B8yDUyaR5rQGsnCviAxsQi9uhk6zQA==" saltValue="1CuVcR3TRK4ym3Yj3Tm1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DENIA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62</v>
      </c>
      <c r="G10" s="684">
        <f>IF(ISNUMBER(Datos!I10),Datos!I10," - ")</f>
        <v>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48</v>
      </c>
      <c r="AC10" s="683" t="str">
        <f>IF(ISNUMBER(IF(D_I="SI",DatosP!K17,DatosP!K17+DatosP!AE17)),IF(D_I="SI",DatosP!K17,DatosP!K17+DatosP!AE17)," - ")</f>
        <v xml:space="preserve"> - </v>
      </c>
      <c r="AD10" s="685"/>
      <c r="AE10" s="685"/>
      <c r="AF10" s="688">
        <f>IF(ISNUMBER(Datos!L10),Datos!L10,"-")</f>
        <v>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26</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3.4375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62</v>
      </c>
      <c r="G13" s="938">
        <f t="shared" si="0"/>
        <v>62</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48</v>
      </c>
      <c r="AC13" s="939">
        <f t="shared" si="1"/>
        <v>0</v>
      </c>
      <c r="AD13" s="939">
        <f t="shared" si="1"/>
        <v>0</v>
      </c>
      <c r="AE13" s="939">
        <f t="shared" si="1"/>
        <v>0</v>
      </c>
      <c r="AF13" s="939">
        <f t="shared" si="1"/>
        <v>55</v>
      </c>
      <c r="AG13" s="939">
        <f t="shared" si="1"/>
        <v>0</v>
      </c>
      <c r="AH13" s="939">
        <f t="shared" si="1"/>
        <v>0</v>
      </c>
      <c r="AI13" s="939">
        <f t="shared" si="1"/>
        <v>0</v>
      </c>
      <c r="AJ13" s="939">
        <f t="shared" si="1"/>
        <v>0</v>
      </c>
      <c r="AK13" s="939">
        <f t="shared" si="1"/>
        <v>0</v>
      </c>
      <c r="AL13" s="939">
        <f t="shared" si="1"/>
        <v>26</v>
      </c>
      <c r="AM13" s="939">
        <f t="shared" si="1"/>
        <v>18</v>
      </c>
      <c r="AN13" s="939">
        <f t="shared" si="1"/>
        <v>0</v>
      </c>
      <c r="AO13" s="939">
        <f t="shared" si="1"/>
        <v>0</v>
      </c>
      <c r="AP13" s="944">
        <f>IF(ISNUMBER(((Datos!L13/Datos!K13)*11)/factor_trimestre),((Datos!L13/Datos!K13)*11)/factor_trimestre," - ")</f>
        <v>4.4987854251012136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-0.77419354838709675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2.4241758241758244</v>
      </c>
      <c r="AQ18" s="944">
        <f>IF(ISNUMBER(((Datos!M18/Datos!L18)*11)/factor_trimestre),((Datos!M18/Datos!L18)*11)/factor_trimestre," - ")</f>
        <v>0.58340888485947417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0.11244979919678715</v>
      </c>
      <c r="AW18" s="946">
        <f>IF(ISNUMBER((Datos!Q18-Datos!R18)/(Datos!S18-Datos!Q18+Datos!R18)),(Datos!Q18-Datos!R18)/(Datos!S18-Datos!Q18+Datos!R18)," - ")</f>
        <v>-9.6691018478727978E-2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62</v>
      </c>
      <c r="G19" s="951">
        <f t="shared" si="4"/>
        <v>62</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48</v>
      </c>
      <c r="AC19" s="957">
        <f t="shared" si="5"/>
        <v>0</v>
      </c>
      <c r="AD19" s="957">
        <f t="shared" si="5"/>
        <v>0</v>
      </c>
      <c r="AE19" s="957">
        <f t="shared" si="5"/>
        <v>0</v>
      </c>
      <c r="AF19" s="958">
        <f t="shared" si="5"/>
        <v>55</v>
      </c>
      <c r="AG19" s="958">
        <f t="shared" si="5"/>
        <v>0</v>
      </c>
      <c r="AH19" s="958">
        <f t="shared" si="5"/>
        <v>0</v>
      </c>
      <c r="AI19" s="958">
        <f t="shared" si="5"/>
        <v>0</v>
      </c>
      <c r="AJ19" s="959">
        <f t="shared" si="5"/>
        <v>0</v>
      </c>
      <c r="AK19" s="959">
        <f t="shared" si="5"/>
        <v>0</v>
      </c>
      <c r="AL19" s="951">
        <f t="shared" si="5"/>
        <v>26</v>
      </c>
      <c r="AM19" s="951">
        <f t="shared" si="5"/>
        <v>18</v>
      </c>
      <c r="AN19" s="951">
        <f t="shared" si="5"/>
        <v>0</v>
      </c>
      <c r="AO19" s="951">
        <f t="shared" si="5"/>
        <v>0</v>
      </c>
      <c r="AP19" s="951">
        <f>IF(ISNUMBER(((Datos!L19/Datos!K19)*11)/factor_trimestre),((Datos!L19/Datos!K19)*11)/factor_trimestre," - ")</f>
        <v>3.4096153846153849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-0.77419354838709675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-4.9700969272014846E-2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35.795716689756802</v>
      </c>
      <c r="G21" s="737">
        <f>IF(ISNUMBER(STDEV(G8:G18)),STDEV(G8:G18),"-")</f>
        <v>35.795716689756802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27.712812921102035</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1.0373971945124518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5WFBDkQpnn75hYRrLcho9rSeOX0iJGeuUhUiHJMAkAREv1xrcp3S3BU4WwehgsBbW8SADqci64/WLE/ZFEtu4w==" saltValue="oVYdIU8UdiUnNAbnEHPc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